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X:\Transport Outlook\Version 2 Models\Health Model\"/>
    </mc:Choice>
  </mc:AlternateContent>
  <bookViews>
    <workbookView xWindow="210" yWindow="60" windowWidth="20580" windowHeight="6500" tabRatio="767" activeTab="1"/>
  </bookViews>
  <sheets>
    <sheet name="Cover sheet" sheetId="53" r:id="rId1"/>
    <sheet name="user page" sheetId="49" r:id="rId2"/>
    <sheet name="user page 2" sheetId="52" r:id="rId3"/>
    <sheet name="Visions person" sheetId="54" r:id="rId4"/>
    <sheet name="Travel Summary" sheetId="100" r:id="rId5"/>
    <sheet name="Health summary" sheetId="47" r:id="rId6"/>
    <sheet name="Baseline" sheetId="7" r:id="rId7"/>
    <sheet name="Scenario" sheetId="51" r:id="rId8"/>
    <sheet name="Phy activity RRs" sheetId="75" r:id="rId9"/>
    <sheet name="Non travel METs" sheetId="38" r:id="rId10"/>
    <sheet name="t Total" sheetId="1" r:id="rId11"/>
    <sheet name="GBDNZ" sheetId="83" r:id="rId12"/>
    <sheet name="All-cause mort" sheetId="78" r:id="rId13"/>
    <sheet name="Acute Resp Infect" sheetId="60" r:id="rId14"/>
    <sheet name="Breast cancer" sheetId="37" r:id="rId15"/>
    <sheet name="CVD_air" sheetId="58" r:id="rId16"/>
    <sheet name="Colon Cancer" sheetId="41" r:id="rId17"/>
    <sheet name="Dementia" sheetId="44" r:id="rId18"/>
    <sheet name="Depression" sheetId="45" r:id="rId19"/>
    <sheet name="Diabetes" sheetId="46" r:id="rId20"/>
    <sheet name="HHD_air" sheetId="85" r:id="rId21"/>
    <sheet name="Inflammatory HD" sheetId="61" r:id="rId22"/>
    <sheet name="Lung Cancer" sheetId="59" r:id="rId23"/>
    <sheet name="Resp diseases" sheetId="62" r:id="rId24"/>
    <sheet name="Stroke_air" sheetId="72" r:id="rId25"/>
    <sheet name="air pollution" sheetId="74" r:id="rId26"/>
    <sheet name="Costs" sheetId="101" r:id="rId27"/>
    <sheet name="Scenario Data" sheetId="92" r:id="rId28"/>
    <sheet name="Calibration Data" sheetId="88" r:id="rId29"/>
    <sheet name="MoT Travel Input" sheetId="102"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28" hidden="1">'Calibration Data'!$A$1:$U$147</definedName>
    <definedName name="_xlnm._FilterDatabase" localSheetId="27" hidden="1">'Scenario Data'!$A$1:$V$137</definedName>
    <definedName name="_Parse_In" localSheetId="13" hidden="1">'[1]1997'!#REF!</definedName>
    <definedName name="_Parse_In" localSheetId="12" hidden="1">'[1]1997'!#REF!</definedName>
    <definedName name="_Parse_In" localSheetId="26" hidden="1">'[1]1997'!#REF!</definedName>
    <definedName name="_Parse_In" localSheetId="15" hidden="1">'[1]1997'!#REF!</definedName>
    <definedName name="_Parse_In" localSheetId="20" hidden="1">'[1]1997'!#REF!</definedName>
    <definedName name="_Parse_In" localSheetId="21" hidden="1">'[1]1997'!#REF!</definedName>
    <definedName name="_Parse_In" localSheetId="22" hidden="1">'[1]1997'!#REF!</definedName>
    <definedName name="_Parse_In" localSheetId="23" hidden="1">'[1]1997'!#REF!</definedName>
    <definedName name="_Parse_In" localSheetId="24" hidden="1">'[1]1997'!#REF!</definedName>
    <definedName name="_Parse_In" hidden="1">'[1]1997'!#REF!</definedName>
    <definedName name="_Ref383607996" localSheetId="27">'Scenario Data'!$L$31</definedName>
    <definedName name="_Ref388547481" localSheetId="27">'Scenario Data'!#REF!</definedName>
    <definedName name="_Ref388548035" localSheetId="27">'Scenario Data'!#REF!</definedName>
    <definedName name="a">[2]RAWDATA!$L$2</definedName>
    <definedName name="activeCell" localSheetId="13">#REF!</definedName>
    <definedName name="activeCell" localSheetId="12">#REF!</definedName>
    <definedName name="activeCell" localSheetId="26">#REF!</definedName>
    <definedName name="activeCell" localSheetId="15">#REF!</definedName>
    <definedName name="activeCell" localSheetId="20">#REF!</definedName>
    <definedName name="activeCell" localSheetId="21">#REF!</definedName>
    <definedName name="activeCell" localSheetId="22">#REF!</definedName>
    <definedName name="activeCell" localSheetId="23">#REF!</definedName>
    <definedName name="activeCell" localSheetId="24">#REF!</definedName>
    <definedName name="activeCell" localSheetId="3">#REF!</definedName>
    <definedName name="activeCell">#REF!</definedName>
    <definedName name="ayear">[2]RAWDATA!$J$2</definedName>
    <definedName name="byear">[2]RAWDATA!$L$2</definedName>
    <definedName name="CategoryTitle" localSheetId="13">#REF!</definedName>
    <definedName name="CategoryTitle" localSheetId="12">#REF!</definedName>
    <definedName name="CategoryTitle" localSheetId="26">#REF!</definedName>
    <definedName name="CategoryTitle" localSheetId="15">#REF!</definedName>
    <definedName name="CategoryTitle" localSheetId="20">#REF!</definedName>
    <definedName name="CategoryTitle" localSheetId="21">#REF!</definedName>
    <definedName name="CategoryTitle" localSheetId="22">#REF!</definedName>
    <definedName name="CategoryTitle" localSheetId="23">#REF!</definedName>
    <definedName name="CategoryTitle" localSheetId="24">#REF!</definedName>
    <definedName name="CategoryTitle" localSheetId="3">#REF!</definedName>
    <definedName name="CategoryTitle">#REF!</definedName>
    <definedName name="chart" localSheetId="13">'[1]1997'!$A$7,'[1]1997'!$L$7,'[1]1997'!$M$7,'[1]1997'!#REF!,'[1]1997'!$A$10,'[1]1997'!$A$11,'[1]1997'!$L$10,'[1]1997'!$L$11,'[1]1997'!$M$10,'[1]1997'!$M$11,'[1]1997'!#REF!,'[1]1997'!#REF!,'[1]1997'!$Q$20,'[1]1997'!$L$19,'[1]1997'!$M$19,'[1]1997'!#REF!</definedName>
    <definedName name="chart" localSheetId="12">'[1]1997'!$A$7,'[1]1997'!$L$7,'[1]1997'!$M$7,'[1]1997'!#REF!,'[1]1997'!$A$10,'[1]1997'!$A$11,'[1]1997'!$L$10,'[1]1997'!$L$11,'[1]1997'!$M$10,'[1]1997'!$M$11,'[1]1997'!#REF!,'[1]1997'!#REF!,'[1]1997'!$Q$20,'[1]1997'!$L$19,'[1]1997'!$M$19,'[1]1997'!#REF!</definedName>
    <definedName name="chart" localSheetId="26">'[1]1997'!$A$7,'[1]1997'!$L$7,'[1]1997'!$M$7,'[1]1997'!#REF!,'[1]1997'!$A$10,'[1]1997'!$A$11,'[1]1997'!$L$10,'[1]1997'!$L$11,'[1]1997'!$M$10,'[1]1997'!$M$11,'[1]1997'!#REF!,'[1]1997'!#REF!,'[1]1997'!$Q$20,'[1]1997'!$L$19,'[1]1997'!$M$19,'[1]1997'!#REF!</definedName>
    <definedName name="chart" localSheetId="15">'[1]1997'!$A$7,'[1]1997'!$L$7,'[1]1997'!$M$7,'[1]1997'!#REF!,'[1]1997'!$A$10,'[1]1997'!$A$11,'[1]1997'!$L$10,'[1]1997'!$L$11,'[1]1997'!$M$10,'[1]1997'!$M$11,'[1]1997'!#REF!,'[1]1997'!#REF!,'[1]1997'!$Q$20,'[1]1997'!$L$19,'[1]1997'!$M$19,'[1]1997'!#REF!</definedName>
    <definedName name="chart" localSheetId="20">'[1]1997'!$A$7,'[1]1997'!$L$7,'[1]1997'!$M$7,'[1]1997'!#REF!,'[1]1997'!$A$10,'[1]1997'!$A$11,'[1]1997'!$L$10,'[1]1997'!$L$11,'[1]1997'!$M$10,'[1]1997'!$M$11,'[1]1997'!#REF!,'[1]1997'!#REF!,'[1]1997'!$Q$20,'[1]1997'!$L$19,'[1]1997'!$M$19,'[1]1997'!#REF!</definedName>
    <definedName name="chart" localSheetId="21">'[1]1997'!$A$7,'[1]1997'!$L$7,'[1]1997'!$M$7,'[1]1997'!#REF!,'[1]1997'!$A$10,'[1]1997'!$A$11,'[1]1997'!$L$10,'[1]1997'!$L$11,'[1]1997'!$M$10,'[1]1997'!$M$11,'[1]1997'!#REF!,'[1]1997'!#REF!,'[1]1997'!$Q$20,'[1]1997'!$L$19,'[1]1997'!$M$19,'[1]1997'!#REF!</definedName>
    <definedName name="chart" localSheetId="22">'[1]1997'!$A$7,'[1]1997'!$L$7,'[1]1997'!$M$7,'[1]1997'!#REF!,'[1]1997'!$A$10,'[1]1997'!$A$11,'[1]1997'!$L$10,'[1]1997'!$L$11,'[1]1997'!$M$10,'[1]1997'!$M$11,'[1]1997'!#REF!,'[1]1997'!#REF!,'[1]1997'!$Q$20,'[1]1997'!$L$19,'[1]1997'!$M$19,'[1]1997'!#REF!</definedName>
    <definedName name="chart" localSheetId="23">'[1]1997'!$A$7,'[1]1997'!$L$7,'[1]1997'!$M$7,'[1]1997'!#REF!,'[1]1997'!$A$10,'[1]1997'!$A$11,'[1]1997'!$L$10,'[1]1997'!$L$11,'[1]1997'!$M$10,'[1]1997'!$M$11,'[1]1997'!#REF!,'[1]1997'!#REF!,'[1]1997'!$Q$20,'[1]1997'!$L$19,'[1]1997'!$M$19,'[1]1997'!#REF!</definedName>
    <definedName name="chart" localSheetId="24">'[1]1997'!$A$7,'[1]1997'!$L$7,'[1]1997'!$M$7,'[1]1997'!#REF!,'[1]1997'!$A$10,'[1]1997'!$A$11,'[1]1997'!$L$10,'[1]1997'!$L$11,'[1]1997'!$M$10,'[1]1997'!$M$11,'[1]1997'!#REF!,'[1]1997'!#REF!,'[1]1997'!$Q$20,'[1]1997'!$L$19,'[1]1997'!$M$19,'[1]1997'!#REF!</definedName>
    <definedName name="chart" localSheetId="3">'[1]1997'!$A$7,'[1]1997'!$L$7,'[1]1997'!$M$7,'[1]1997'!#REF!,'[1]1997'!$A$10,'[1]1997'!$A$11,'[1]1997'!$L$10,'[1]1997'!$L$11,'[1]1997'!$M$10,'[1]1997'!$M$11,'[1]1997'!#REF!,'[1]1997'!#REF!,'[1]1997'!$Q$20,'[1]1997'!$L$19,'[1]1997'!$M$19,'[1]1997'!#REF!</definedName>
    <definedName name="chart">'[1]1997'!$A$7,'[1]1997'!$L$7,'[1]1997'!$M$7,'[1]1997'!#REF!,'[1]1997'!$A$10,'[1]1997'!$A$11,'[1]1997'!$L$10,'[1]1997'!$L$11,'[1]1997'!$M$10,'[1]1997'!$M$11,'[1]1997'!#REF!,'[1]1997'!#REF!,'[1]1997'!$Q$20,'[1]1997'!$L$19,'[1]1997'!$M$19,'[1]1997'!#REF!</definedName>
    <definedName name="Chart2">'[1]1997'!$R$3:$U$5,'[1]1997'!$R$8:$U$9,'[1]1997'!$R$17:$U$17,'[1]1997'!$R$27:$U$28</definedName>
    <definedName name="cyear">[2]RAWDATA!$J$2</definedName>
    <definedName name="dgdsfyh" localSheetId="13">#REF!</definedName>
    <definedName name="dgdsfyh" localSheetId="12">#REF!</definedName>
    <definedName name="dgdsfyh" localSheetId="26">#REF!</definedName>
    <definedName name="dgdsfyh" localSheetId="15">#REF!</definedName>
    <definedName name="dgdsfyh" localSheetId="20">#REF!</definedName>
    <definedName name="dgdsfyh" localSheetId="21">#REF!</definedName>
    <definedName name="dgdsfyh" localSheetId="22">#REF!</definedName>
    <definedName name="dgdsfyh" localSheetId="23">#REF!</definedName>
    <definedName name="dgdsfyh" localSheetId="24">#REF!</definedName>
    <definedName name="dgdsfyh" localSheetId="3">#REF!</definedName>
    <definedName name="dgdsfyh">#REF!</definedName>
    <definedName name="Dialog" localSheetId="13">[1]!Dialog</definedName>
    <definedName name="Dialog" localSheetId="12">[1]!Dialog</definedName>
    <definedName name="Dialog" localSheetId="15">[1]!Dialog</definedName>
    <definedName name="Dialog" localSheetId="20">[1]!Dialog</definedName>
    <definedName name="Dialog" localSheetId="21">[1]!Dialog</definedName>
    <definedName name="Dialog" localSheetId="22">[1]!Dialog</definedName>
    <definedName name="Dialog" localSheetId="23">[1]!Dialog</definedName>
    <definedName name="Dialog" localSheetId="24">[1]!Dialog</definedName>
    <definedName name="Dialog">[1]!Dialog</definedName>
    <definedName name="dialog2" localSheetId="13">[1]!dialog2</definedName>
    <definedName name="dialog2" localSheetId="12">[1]!dialog2</definedName>
    <definedName name="dialog2" localSheetId="15">[1]!dialog2</definedName>
    <definedName name="dialog2" localSheetId="20">[1]!dialog2</definedName>
    <definedName name="dialog2" localSheetId="21">[1]!dialog2</definedName>
    <definedName name="dialog2" localSheetId="22">[1]!dialog2</definedName>
    <definedName name="dialog2" localSheetId="23">[1]!dialog2</definedName>
    <definedName name="dialog2" localSheetId="24">[1]!dialog2</definedName>
    <definedName name="dialog2">[1]!dialog2</definedName>
    <definedName name="fayear" localSheetId="13">#REF!</definedName>
    <definedName name="fayear" localSheetId="12">#REF!</definedName>
    <definedName name="fayear" localSheetId="26">#REF!</definedName>
    <definedName name="fayear" localSheetId="15">#REF!</definedName>
    <definedName name="fayear" localSheetId="20">#REF!</definedName>
    <definedName name="fayear" localSheetId="21">#REF!</definedName>
    <definedName name="fayear" localSheetId="22">#REF!</definedName>
    <definedName name="fayear" localSheetId="23">#REF!</definedName>
    <definedName name="fayear" localSheetId="24">#REF!</definedName>
    <definedName name="fayear" localSheetId="3">#REF!</definedName>
    <definedName name="fayear">#REF!</definedName>
    <definedName name="fdafda" localSheetId="13">#REF!</definedName>
    <definedName name="fdafda" localSheetId="12">#REF!</definedName>
    <definedName name="fdafda" localSheetId="26">#REF!</definedName>
    <definedName name="fdafda" localSheetId="15">#REF!</definedName>
    <definedName name="fdafda" localSheetId="20">#REF!</definedName>
    <definedName name="fdafda" localSheetId="21">#REF!</definedName>
    <definedName name="fdafda" localSheetId="22">#REF!</definedName>
    <definedName name="fdafda" localSheetId="23">#REF!</definedName>
    <definedName name="fdafda" localSheetId="24">#REF!</definedName>
    <definedName name="fdafda" localSheetId="3">#REF!</definedName>
    <definedName name="fdafda">#REF!</definedName>
    <definedName name="fendyear">[2]RAWDATA!$L$2</definedName>
    <definedName name="ffyear">[2]RAWDATA!$J$2</definedName>
    <definedName name="Footnotes" localSheetId="13">#REF!</definedName>
    <definedName name="Footnotes" localSheetId="12">#REF!</definedName>
    <definedName name="Footnotes" localSheetId="26">#REF!</definedName>
    <definedName name="Footnotes" localSheetId="15">#REF!</definedName>
    <definedName name="Footnotes" localSheetId="20">#REF!</definedName>
    <definedName name="Footnotes" localSheetId="21">#REF!</definedName>
    <definedName name="Footnotes" localSheetId="22">#REF!</definedName>
    <definedName name="Footnotes" localSheetId="23">#REF!</definedName>
    <definedName name="Footnotes" localSheetId="24">#REF!</definedName>
    <definedName name="Footnotes" localSheetId="3">#REF!</definedName>
    <definedName name="Footnotes">#REF!</definedName>
    <definedName name="fyear">[2]RAWDATA!$J$2</definedName>
    <definedName name="fyear2" localSheetId="13">#REF!</definedName>
    <definedName name="fyear2" localSheetId="12">#REF!</definedName>
    <definedName name="fyear2" localSheetId="26">#REF!</definedName>
    <definedName name="fyear2" localSheetId="15">#REF!</definedName>
    <definedName name="fyear2" localSheetId="20">#REF!</definedName>
    <definedName name="fyear2" localSheetId="21">#REF!</definedName>
    <definedName name="fyear2" localSheetId="22">#REF!</definedName>
    <definedName name="fyear2" localSheetId="23">#REF!</definedName>
    <definedName name="fyear2" localSheetId="24">#REF!</definedName>
    <definedName name="fyear2" localSheetId="3">#REF!</definedName>
    <definedName name="fyear2">#REF!</definedName>
    <definedName name="GraphData">'[3]TIS-INDEX'!$B$13:$Q$44,'[3]TIS-INDEX'!$E$9:$R$9</definedName>
    <definedName name="GraphTitle" localSheetId="13">#REF!</definedName>
    <definedName name="GraphTitle" localSheetId="12">#REF!</definedName>
    <definedName name="GraphTitle" localSheetId="26">#REF!</definedName>
    <definedName name="GraphTitle" localSheetId="15">#REF!</definedName>
    <definedName name="GraphTitle" localSheetId="20">#REF!</definedName>
    <definedName name="GraphTitle" localSheetId="21">#REF!</definedName>
    <definedName name="GraphTitle" localSheetId="22">#REF!</definedName>
    <definedName name="GraphTitle" localSheetId="23">#REF!</definedName>
    <definedName name="GraphTitle" localSheetId="24">#REF!</definedName>
    <definedName name="GraphTitle" localSheetId="3">#REF!</definedName>
    <definedName name="GraphTitle">#REF!</definedName>
    <definedName name="j" localSheetId="26" hidden="1">{#N/A,#N/A,FALSE,"inopert";#N/A,#N/A,FALSE,"electrified";#N/A,#N/A,FALSE,"network"}</definedName>
    <definedName name="j" localSheetId="20" hidden="1">{#N/A,#N/A,FALSE,"inopert";#N/A,#N/A,FALSE,"electrified";#N/A,#N/A,FALSE,"network"}</definedName>
    <definedName name="j" localSheetId="3" hidden="1">{#N/A,#N/A,FALSE,"inopert";#N/A,#N/A,FALSE,"electrified";#N/A,#N/A,FALSE,"network"}</definedName>
    <definedName name="j" hidden="1">{#N/A,#N/A,FALSE,"inopert";#N/A,#N/A,FALSE,"electrified";#N/A,#N/A,FALSE,"network"}</definedName>
    <definedName name="jj" localSheetId="26" hidden="1">{#N/A,#N/A,FALSE,"inopert";#N/A,#N/A,FALSE,"electrified";#N/A,#N/A,FALSE,"network"}</definedName>
    <definedName name="jj" localSheetId="20" hidden="1">{#N/A,#N/A,FALSE,"inopert";#N/A,#N/A,FALSE,"electrified";#N/A,#N/A,FALSE,"network"}</definedName>
    <definedName name="jj" localSheetId="3" hidden="1">{#N/A,#N/A,FALSE,"inopert";#N/A,#N/A,FALSE,"electrified";#N/A,#N/A,FALSE,"network"}</definedName>
    <definedName name="jj" hidden="1">{#N/A,#N/A,FALSE,"inopert";#N/A,#N/A,FALSE,"electrified";#N/A,#N/A,FALSE,"network"}</definedName>
    <definedName name="jk" localSheetId="26" hidden="1">{#N/A,#N/A,FALSE,"inopert";#N/A,#N/A,FALSE,"electrified";#N/A,#N/A,FALSE,"network"}</definedName>
    <definedName name="jk" localSheetId="20" hidden="1">{#N/A,#N/A,FALSE,"inopert";#N/A,#N/A,FALSE,"electrified";#N/A,#N/A,FALSE,"network"}</definedName>
    <definedName name="jk" localSheetId="3" hidden="1">{#N/A,#N/A,FALSE,"inopert";#N/A,#N/A,FALSE,"electrified";#N/A,#N/A,FALSE,"network"}</definedName>
    <definedName name="jk" hidden="1">{#N/A,#N/A,FALSE,"inopert";#N/A,#N/A,FALSE,"electrified";#N/A,#N/A,FALSE,"network"}</definedName>
    <definedName name="MACRO">#N/A</definedName>
    <definedName name="new_chart" localSheetId="13">'[1]1997'!$A$7,'[1]1997'!$L$7,'[1]1997'!$M$7,'[1]1997'!#REF!,'[1]1997'!$A$10,'[1]1997'!$A$11,'[1]1997'!$L$10,'[1]1997'!$L$11,'[1]1997'!$M$10,'[1]1997'!$M$11,'[1]1997'!#REF!,'[1]1997'!#REF!,'[1]1997'!$Q$20,'[1]1997'!$L$19,'[1]1997'!$M$19,'[1]1997'!#REF!</definedName>
    <definedName name="new_chart" localSheetId="12">'[1]1997'!$A$7,'[1]1997'!$L$7,'[1]1997'!$M$7,'[1]1997'!#REF!,'[1]1997'!$A$10,'[1]1997'!$A$11,'[1]1997'!$L$10,'[1]1997'!$L$11,'[1]1997'!$M$10,'[1]1997'!$M$11,'[1]1997'!#REF!,'[1]1997'!#REF!,'[1]1997'!$Q$20,'[1]1997'!$L$19,'[1]1997'!$M$19,'[1]1997'!#REF!</definedName>
    <definedName name="new_chart" localSheetId="26">'[1]1997'!$A$7,'[1]1997'!$L$7,'[1]1997'!$M$7,'[1]1997'!#REF!,'[1]1997'!$A$10,'[1]1997'!$A$11,'[1]1997'!$L$10,'[1]1997'!$L$11,'[1]1997'!$M$10,'[1]1997'!$M$11,'[1]1997'!#REF!,'[1]1997'!#REF!,'[1]1997'!$Q$20,'[1]1997'!$L$19,'[1]1997'!$M$19,'[1]1997'!#REF!</definedName>
    <definedName name="new_chart" localSheetId="15">'[1]1997'!$A$7,'[1]1997'!$L$7,'[1]1997'!$M$7,'[1]1997'!#REF!,'[1]1997'!$A$10,'[1]1997'!$A$11,'[1]1997'!$L$10,'[1]1997'!$L$11,'[1]1997'!$M$10,'[1]1997'!$M$11,'[1]1997'!#REF!,'[1]1997'!#REF!,'[1]1997'!$Q$20,'[1]1997'!$L$19,'[1]1997'!$M$19,'[1]1997'!#REF!</definedName>
    <definedName name="new_chart" localSheetId="20">'[1]1997'!$A$7,'[1]1997'!$L$7,'[1]1997'!$M$7,'[1]1997'!#REF!,'[1]1997'!$A$10,'[1]1997'!$A$11,'[1]1997'!$L$10,'[1]1997'!$L$11,'[1]1997'!$M$10,'[1]1997'!$M$11,'[1]1997'!#REF!,'[1]1997'!#REF!,'[1]1997'!$Q$20,'[1]1997'!$L$19,'[1]1997'!$M$19,'[1]1997'!#REF!</definedName>
    <definedName name="new_chart" localSheetId="21">'[1]1997'!$A$7,'[1]1997'!$L$7,'[1]1997'!$M$7,'[1]1997'!#REF!,'[1]1997'!$A$10,'[1]1997'!$A$11,'[1]1997'!$L$10,'[1]1997'!$L$11,'[1]1997'!$M$10,'[1]1997'!$M$11,'[1]1997'!#REF!,'[1]1997'!#REF!,'[1]1997'!$Q$20,'[1]1997'!$L$19,'[1]1997'!$M$19,'[1]1997'!#REF!</definedName>
    <definedName name="new_chart" localSheetId="22">'[1]1997'!$A$7,'[1]1997'!$L$7,'[1]1997'!$M$7,'[1]1997'!#REF!,'[1]1997'!$A$10,'[1]1997'!$A$11,'[1]1997'!$L$10,'[1]1997'!$L$11,'[1]1997'!$M$10,'[1]1997'!$M$11,'[1]1997'!#REF!,'[1]1997'!#REF!,'[1]1997'!$Q$20,'[1]1997'!$L$19,'[1]1997'!$M$19,'[1]1997'!#REF!</definedName>
    <definedName name="new_chart" localSheetId="23">'[1]1997'!$A$7,'[1]1997'!$L$7,'[1]1997'!$M$7,'[1]1997'!#REF!,'[1]1997'!$A$10,'[1]1997'!$A$11,'[1]1997'!$L$10,'[1]1997'!$L$11,'[1]1997'!$M$10,'[1]1997'!$M$11,'[1]1997'!#REF!,'[1]1997'!#REF!,'[1]1997'!$Q$20,'[1]1997'!$L$19,'[1]1997'!$M$19,'[1]1997'!#REF!</definedName>
    <definedName name="new_chart" localSheetId="24">'[1]1997'!$A$7,'[1]1997'!$L$7,'[1]1997'!$M$7,'[1]1997'!#REF!,'[1]1997'!$A$10,'[1]1997'!$A$11,'[1]1997'!$L$10,'[1]1997'!$L$11,'[1]1997'!$M$10,'[1]1997'!$M$11,'[1]1997'!#REF!,'[1]1997'!#REF!,'[1]1997'!$Q$20,'[1]1997'!$L$19,'[1]1997'!$M$19,'[1]1997'!#REF!</definedName>
    <definedName name="new_chart" localSheetId="3">'[1]1997'!$A$7,'[1]1997'!$L$7,'[1]1997'!$M$7,'[1]1997'!#REF!,'[1]1997'!$A$10,'[1]1997'!$A$11,'[1]1997'!$L$10,'[1]1997'!$L$11,'[1]1997'!$M$10,'[1]1997'!$M$11,'[1]1997'!#REF!,'[1]1997'!#REF!,'[1]1997'!$Q$20,'[1]1997'!$L$19,'[1]1997'!$M$19,'[1]1997'!#REF!</definedName>
    <definedName name="new_chart">'[1]1997'!$A$7,'[1]1997'!$L$7,'[1]1997'!$M$7,'[1]1997'!#REF!,'[1]1997'!$A$10,'[1]1997'!$A$11,'[1]1997'!$L$10,'[1]1997'!$L$11,'[1]1997'!$M$10,'[1]1997'!$M$11,'[1]1997'!#REF!,'[1]1997'!#REF!,'[1]1997'!$Q$20,'[1]1997'!$L$19,'[1]1997'!$M$19,'[1]1997'!#REF!</definedName>
    <definedName name="new_dialog" localSheetId="13">[1]!Dialog</definedName>
    <definedName name="new_dialog" localSheetId="12">[1]!Dialog</definedName>
    <definedName name="new_dialog" localSheetId="15">[1]!Dialog</definedName>
    <definedName name="new_dialog" localSheetId="20">[1]!Dialog</definedName>
    <definedName name="new_dialog" localSheetId="21">[1]!Dialog</definedName>
    <definedName name="new_dialog" localSheetId="22">[1]!Dialog</definedName>
    <definedName name="new_dialog" localSheetId="23">[1]!Dialog</definedName>
    <definedName name="new_dialog" localSheetId="24">[1]!Dialog</definedName>
    <definedName name="new_dialog">[1]!Dialog</definedName>
    <definedName name="new_table" localSheetId="13">#REF!</definedName>
    <definedName name="new_table" localSheetId="12">#REF!</definedName>
    <definedName name="new_table" localSheetId="26">#REF!</definedName>
    <definedName name="new_table" localSheetId="15">#REF!</definedName>
    <definedName name="new_table" localSheetId="20">#REF!</definedName>
    <definedName name="new_table" localSheetId="21">#REF!</definedName>
    <definedName name="new_table" localSheetId="22">#REF!</definedName>
    <definedName name="new_table" localSheetId="23">#REF!</definedName>
    <definedName name="new_table" localSheetId="24">#REF!</definedName>
    <definedName name="new_table" localSheetId="3">#REF!</definedName>
    <definedName name="new_table">#REF!</definedName>
    <definedName name="OldData" localSheetId="13">#REF!</definedName>
    <definedName name="OldData" localSheetId="12">#REF!</definedName>
    <definedName name="OldData" localSheetId="26">#REF!</definedName>
    <definedName name="OldData" localSheetId="15">#REF!</definedName>
    <definedName name="OldData" localSheetId="20">#REF!</definedName>
    <definedName name="OldData" localSheetId="21">#REF!</definedName>
    <definedName name="OldData" localSheetId="22">#REF!</definedName>
    <definedName name="OldData" localSheetId="23">#REF!</definedName>
    <definedName name="OldData" localSheetId="24">#REF!</definedName>
    <definedName name="OldData" localSheetId="3">#REF!</definedName>
    <definedName name="OldData">#REF!</definedName>
    <definedName name="_xlnm.Print_Area" localSheetId="13">#REF!</definedName>
    <definedName name="_xlnm.Print_Area" localSheetId="12">#REF!</definedName>
    <definedName name="_xlnm.Print_Area" localSheetId="26">#REF!</definedName>
    <definedName name="_xlnm.Print_Area" localSheetId="15">#REF!</definedName>
    <definedName name="_xlnm.Print_Area" localSheetId="20">#REF!</definedName>
    <definedName name="_xlnm.Print_Area" localSheetId="21">#REF!</definedName>
    <definedName name="_xlnm.Print_Area" localSheetId="22">#REF!</definedName>
    <definedName name="_xlnm.Print_Area" localSheetId="23">#REF!</definedName>
    <definedName name="_xlnm.Print_Area" localSheetId="24">#REF!</definedName>
    <definedName name="_xlnm.Print_Area" localSheetId="3">#REF!</definedName>
    <definedName name="_xlnm.Print_Area">#REF!</definedName>
    <definedName name="printarea" localSheetId="13">#REF!</definedName>
    <definedName name="printarea" localSheetId="12">#REF!</definedName>
    <definedName name="printarea" localSheetId="26">#REF!</definedName>
    <definedName name="printarea" localSheetId="15">#REF!</definedName>
    <definedName name="printarea" localSheetId="20">#REF!</definedName>
    <definedName name="printarea" localSheetId="21">#REF!</definedName>
    <definedName name="printarea" localSheetId="22">#REF!</definedName>
    <definedName name="printarea" localSheetId="23">#REF!</definedName>
    <definedName name="printarea" localSheetId="24">#REF!</definedName>
    <definedName name="printarea">#REF!</definedName>
    <definedName name="PUBLISH1998_Print_Area" localSheetId="13">#REF!</definedName>
    <definedName name="PUBLISH1998_Print_Area" localSheetId="12">#REF!</definedName>
    <definedName name="PUBLISH1998_Print_Area" localSheetId="26">#REF!</definedName>
    <definedName name="PUBLISH1998_Print_Area" localSheetId="15">#REF!</definedName>
    <definedName name="PUBLISH1998_Print_Area" localSheetId="20">#REF!</definedName>
    <definedName name="PUBLISH1998_Print_Area" localSheetId="21">#REF!</definedName>
    <definedName name="PUBLISH1998_Print_Area" localSheetId="22">#REF!</definedName>
    <definedName name="PUBLISH1998_Print_Area" localSheetId="23">#REF!</definedName>
    <definedName name="PUBLISH1998_Print_Area" localSheetId="24">#REF!</definedName>
    <definedName name="PUBLISH1998_Print_Area">#REF!</definedName>
    <definedName name="TABA1_2">#N/A</definedName>
    <definedName name="TABA3">#N/A</definedName>
    <definedName name="TABB1_2">#N/A</definedName>
    <definedName name="TableTitle" localSheetId="13">#REF!</definedName>
    <definedName name="TableTitle" localSheetId="12">#REF!</definedName>
    <definedName name="TableTitle" localSheetId="26">#REF!</definedName>
    <definedName name="TableTitle" localSheetId="15">#REF!</definedName>
    <definedName name="TableTitle" localSheetId="20">#REF!</definedName>
    <definedName name="TableTitle" localSheetId="21">#REF!</definedName>
    <definedName name="TableTitle" localSheetId="22">#REF!</definedName>
    <definedName name="TableTitle" localSheetId="23">#REF!</definedName>
    <definedName name="TableTitle" localSheetId="24">#REF!</definedName>
    <definedName name="TableTitle" localSheetId="3">#REF!</definedName>
    <definedName name="TableTitle">#REF!</definedName>
    <definedName name="testing" localSheetId="13">#REF!</definedName>
    <definedName name="testing" localSheetId="12">#REF!</definedName>
    <definedName name="testing" localSheetId="26">#REF!</definedName>
    <definedName name="testing" localSheetId="15">#REF!</definedName>
    <definedName name="testing" localSheetId="20">#REF!</definedName>
    <definedName name="testing" localSheetId="21">#REF!</definedName>
    <definedName name="testing" localSheetId="22">#REF!</definedName>
    <definedName name="testing" localSheetId="23">#REF!</definedName>
    <definedName name="testing" localSheetId="24">#REF!</definedName>
    <definedName name="testing" localSheetId="3">#REF!</definedName>
    <definedName name="testing">#REF!</definedName>
    <definedName name="ValueTitle" localSheetId="13">#REF!</definedName>
    <definedName name="ValueTitle" localSheetId="12">#REF!</definedName>
    <definedName name="ValueTitle" localSheetId="26">#REF!</definedName>
    <definedName name="ValueTitle" localSheetId="15">#REF!</definedName>
    <definedName name="ValueTitle" localSheetId="20">#REF!</definedName>
    <definedName name="ValueTitle" localSheetId="21">#REF!</definedName>
    <definedName name="ValueTitle" localSheetId="22">#REF!</definedName>
    <definedName name="ValueTitle" localSheetId="23">#REF!</definedName>
    <definedName name="ValueTitle" localSheetId="24">#REF!</definedName>
    <definedName name="ValueTitle" localSheetId="3">#REF!</definedName>
    <definedName name="ValueTitle">#REF!</definedName>
    <definedName name="wrn.flifted." localSheetId="26" hidden="1">{#N/A,#N/A,FALSE,"Summary";#N/A,#N/A,FALSE,"road";#N/A,#N/A,FALSE,"raillifted";#N/A,#N/A,FALSE,"inlandwaterway";#N/A,#N/A,FALSE,"seagoing";#N/A,#N/A,FALSE,"pipeline"}</definedName>
    <definedName name="wrn.flifted." localSheetId="20" hidden="1">{#N/A,#N/A,FALSE,"Summary";#N/A,#N/A,FALSE,"road";#N/A,#N/A,FALSE,"raillifted";#N/A,#N/A,FALSE,"inlandwaterway";#N/A,#N/A,FALSE,"seagoing";#N/A,#N/A,FALSE,"pipeline"}</definedName>
    <definedName name="wrn.flifted." localSheetId="3" hidden="1">{#N/A,#N/A,FALSE,"Summary";#N/A,#N/A,FALSE,"road";#N/A,#N/A,FALSE,"raillifted";#N/A,#N/A,FALSE,"inlandwaterway";#N/A,#N/A,FALSE,"seagoing";#N/A,#N/A,FALSE,"pipeline"}</definedName>
    <definedName name="wrn.flifted." hidden="1">{#N/A,#N/A,FALSE,"Summary";#N/A,#N/A,FALSE,"road";#N/A,#N/A,FALSE,"raillifted";#N/A,#N/A,FALSE,"inlandwaterway";#N/A,#N/A,FALSE,"seagoing";#N/A,#N/A,FALSE,"pipeline"}</definedName>
    <definedName name="wrn.fmoved." localSheetId="26" hidden="1">{#N/A,#N/A,FALSE,"road";#N/A,#N/A,FALSE,"inlandwaterway";#N/A,#N/A,FALSE,"seagoing";#N/A,#N/A,FALSE,"pipeline"}</definedName>
    <definedName name="wrn.fmoved." localSheetId="20" hidden="1">{#N/A,#N/A,FALSE,"road";#N/A,#N/A,FALSE,"inlandwaterway";#N/A,#N/A,FALSE,"seagoing";#N/A,#N/A,FALSE,"pipeline"}</definedName>
    <definedName name="wrn.fmoved." localSheetId="3" hidden="1">{#N/A,#N/A,FALSE,"road";#N/A,#N/A,FALSE,"inlandwaterway";#N/A,#N/A,FALSE,"seagoing";#N/A,#N/A,FALSE,"pipeline"}</definedName>
    <definedName name="wrn.fmoved." hidden="1">{#N/A,#N/A,FALSE,"road";#N/A,#N/A,FALSE,"inlandwaterway";#N/A,#N/A,FALSE,"seagoing";#N/A,#N/A,FALSE,"pipeline"}</definedName>
    <definedName name="wrn.rail." localSheetId="26" hidden="1">{#N/A,#N/A,FALSE,"inopert";#N/A,#N/A,FALSE,"electrified";#N/A,#N/A,FALSE,"network"}</definedName>
    <definedName name="wrn.rail." localSheetId="20" hidden="1">{#N/A,#N/A,FALSE,"inopert";#N/A,#N/A,FALSE,"electrified";#N/A,#N/A,FALSE,"network"}</definedName>
    <definedName name="wrn.rail." localSheetId="3" hidden="1">{#N/A,#N/A,FALSE,"inopert";#N/A,#N/A,FALSE,"electrified";#N/A,#N/A,FALSE,"network"}</definedName>
    <definedName name="wrn.rail." hidden="1">{#N/A,#N/A,FALSE,"inopert";#N/A,#N/A,FALSE,"electrified";#N/A,#N/A,FALSE,"network"}</definedName>
    <definedName name="year" localSheetId="13">#REF!</definedName>
    <definedName name="year" localSheetId="12">#REF!</definedName>
    <definedName name="year" localSheetId="26">#REF!</definedName>
    <definedName name="year" localSheetId="15">#REF!</definedName>
    <definedName name="year" localSheetId="20">#REF!</definedName>
    <definedName name="year" localSheetId="21">#REF!</definedName>
    <definedName name="year" localSheetId="22">#REF!</definedName>
    <definedName name="year" localSheetId="23">#REF!</definedName>
    <definedName name="year" localSheetId="24">#REF!</definedName>
    <definedName name="year" localSheetId="3">#REF!</definedName>
    <definedName name="year">#REF!</definedName>
  </definedNames>
  <calcPr calcId="162913"/>
</workbook>
</file>

<file path=xl/calcChain.xml><?xml version="1.0" encoding="utf-8"?>
<calcChain xmlns="http://schemas.openxmlformats.org/spreadsheetml/2006/main">
  <c r="AB31" i="47" l="1"/>
  <c r="AA31" i="47"/>
  <c r="Z31" i="47"/>
  <c r="Y31" i="47"/>
  <c r="W31" i="47"/>
  <c r="V31" i="47"/>
  <c r="U31" i="47"/>
  <c r="X11" i="47"/>
  <c r="W11" i="47"/>
  <c r="I34" i="47"/>
  <c r="I33" i="47"/>
  <c r="L21" i="102" l="1"/>
  <c r="K21" i="102"/>
  <c r="J21" i="102"/>
  <c r="J16" i="102" l="1"/>
  <c r="J15" i="102"/>
  <c r="J14" i="102"/>
  <c r="J13" i="102"/>
  <c r="J12" i="102"/>
  <c r="J11" i="102"/>
  <c r="J10" i="102"/>
  <c r="J9" i="102"/>
  <c r="J8" i="102"/>
  <c r="J7" i="102"/>
  <c r="J6" i="102"/>
  <c r="J5" i="102"/>
  <c r="J4" i="102"/>
  <c r="J3" i="102"/>
  <c r="K14" i="102" l="1"/>
  <c r="K7" i="102"/>
  <c r="K12" i="102" l="1"/>
  <c r="K11" i="102" l="1"/>
  <c r="K16" i="102"/>
  <c r="K15" i="102"/>
  <c r="K10" i="102"/>
  <c r="K5" i="102" l="1"/>
  <c r="K8" i="102"/>
  <c r="K6" i="102"/>
  <c r="K13" i="102" l="1"/>
  <c r="K4" i="102"/>
  <c r="K9" i="102"/>
  <c r="K3" i="102"/>
  <c r="L14" i="102" l="1"/>
  <c r="L7" i="102"/>
  <c r="L12" i="102" l="1"/>
  <c r="L11" i="102" l="1"/>
  <c r="L16" i="102"/>
  <c r="L15" i="102"/>
  <c r="L10" i="102"/>
  <c r="L5" i="102" l="1"/>
  <c r="L8" i="102"/>
  <c r="L6" i="102"/>
  <c r="L13" i="102" l="1"/>
  <c r="L4" i="102"/>
  <c r="L9" i="102"/>
  <c r="L3" i="102"/>
  <c r="E7" i="102" l="1"/>
  <c r="E14" i="102"/>
  <c r="I14" i="102" l="1"/>
  <c r="I7" i="102"/>
  <c r="E12" i="102" l="1"/>
  <c r="E11" i="102" l="1"/>
  <c r="E13" i="102" l="1"/>
  <c r="E10" i="102"/>
  <c r="E16" i="102"/>
  <c r="I12" i="102"/>
  <c r="E15" i="102"/>
  <c r="E5" i="102" l="1"/>
  <c r="I11" i="102"/>
  <c r="E6" i="102"/>
  <c r="E4" i="102"/>
  <c r="I16" i="102"/>
  <c r="I15" i="102"/>
  <c r="I10" i="102"/>
  <c r="E3" i="102" l="1"/>
  <c r="I5" i="102"/>
  <c r="I8" i="102"/>
  <c r="E8" i="102"/>
  <c r="I6" i="102"/>
  <c r="E9" i="102"/>
  <c r="I13" i="102" l="1"/>
  <c r="I4" i="102"/>
  <c r="I9" i="102"/>
  <c r="I3" i="102"/>
  <c r="E45" i="102" l="1"/>
  <c r="I21" i="102"/>
  <c r="M16" i="102" l="1"/>
  <c r="M15" i="102"/>
  <c r="M14" i="102"/>
  <c r="M13" i="102"/>
  <c r="M12" i="102"/>
  <c r="M11" i="102"/>
  <c r="M10" i="102"/>
  <c r="M9" i="102"/>
  <c r="M8" i="102"/>
  <c r="M7" i="102"/>
  <c r="M6" i="102"/>
  <c r="M5" i="102"/>
  <c r="M4" i="102"/>
  <c r="M3" i="102"/>
  <c r="M21" i="102"/>
  <c r="K5" i="52" l="1"/>
  <c r="M5" i="52"/>
  <c r="R64" i="88"/>
  <c r="R63" i="88"/>
  <c r="R62" i="88"/>
  <c r="R61" i="88"/>
  <c r="R60" i="88"/>
  <c r="R59" i="88"/>
  <c r="R58" i="88"/>
  <c r="R57" i="88"/>
  <c r="R56" i="88"/>
  <c r="R55" i="88"/>
  <c r="R54" i="88"/>
  <c r="R53" i="88"/>
  <c r="R52" i="88"/>
  <c r="R51" i="88"/>
  <c r="R50" i="88"/>
  <c r="T49" i="88"/>
  <c r="R49" i="88"/>
  <c r="U323" i="92"/>
  <c r="U322" i="92"/>
  <c r="U321" i="92"/>
  <c r="U320" i="92"/>
  <c r="U319" i="92"/>
  <c r="U318" i="92"/>
  <c r="U317" i="92"/>
  <c r="U316" i="92"/>
  <c r="U315" i="92"/>
  <c r="U314" i="92"/>
  <c r="U313" i="92"/>
  <c r="U312" i="92"/>
  <c r="U311" i="92"/>
  <c r="U310" i="92"/>
  <c r="U309" i="92"/>
  <c r="U308" i="92"/>
  <c r="U256" i="92"/>
  <c r="U255" i="92"/>
  <c r="U254" i="92"/>
  <c r="U253" i="92"/>
  <c r="U252" i="92"/>
  <c r="U251" i="92"/>
  <c r="U250" i="92"/>
  <c r="U249" i="92"/>
  <c r="U248" i="92"/>
  <c r="U247" i="92"/>
  <c r="U246" i="92"/>
  <c r="U245" i="92"/>
  <c r="U244" i="92"/>
  <c r="U243" i="92"/>
  <c r="U242" i="92"/>
  <c r="U241" i="92"/>
  <c r="U189" i="92"/>
  <c r="U188" i="92"/>
  <c r="U187" i="92"/>
  <c r="U186" i="92"/>
  <c r="U185" i="92"/>
  <c r="U184" i="92"/>
  <c r="U183" i="92"/>
  <c r="U182" i="92"/>
  <c r="U181" i="92"/>
  <c r="U180" i="92"/>
  <c r="U179" i="92"/>
  <c r="U178" i="92"/>
  <c r="U177" i="92"/>
  <c r="U176" i="92"/>
  <c r="U175" i="92"/>
  <c r="U174" i="92"/>
  <c r="U122" i="92"/>
  <c r="U121" i="92"/>
  <c r="U120" i="92"/>
  <c r="U119" i="92"/>
  <c r="U118" i="92"/>
  <c r="U117" i="92"/>
  <c r="U116" i="92"/>
  <c r="U115" i="92"/>
  <c r="U114" i="92"/>
  <c r="U113" i="92"/>
  <c r="U112" i="92"/>
  <c r="U111" i="92"/>
  <c r="U110" i="92"/>
  <c r="U109" i="92"/>
  <c r="U108" i="92"/>
  <c r="U107" i="92"/>
  <c r="U55" i="92"/>
  <c r="U54" i="92"/>
  <c r="U53" i="92"/>
  <c r="U52" i="92"/>
  <c r="U51" i="92"/>
  <c r="U50" i="92"/>
  <c r="U49" i="92"/>
  <c r="U48" i="92"/>
  <c r="U47" i="92"/>
  <c r="U46" i="92"/>
  <c r="U45" i="92"/>
  <c r="U44" i="92"/>
  <c r="U43" i="92"/>
  <c r="U42" i="92"/>
  <c r="U41" i="92"/>
  <c r="U40" i="92"/>
  <c r="AB9" i="102" l="1"/>
  <c r="AB15" i="102"/>
  <c r="AB6" i="102"/>
  <c r="AB16" i="102"/>
  <c r="AB4" i="102"/>
  <c r="AB11" i="102"/>
  <c r="AB10" i="102"/>
  <c r="X14" i="102"/>
  <c r="X10" i="102"/>
  <c r="X5" i="102"/>
  <c r="X16" i="102"/>
  <c r="X3" i="102"/>
  <c r="X15" i="102"/>
  <c r="X6" i="102"/>
  <c r="X13" i="102"/>
  <c r="X8" i="102"/>
  <c r="X4" i="102"/>
  <c r="X12" i="102"/>
  <c r="X7" i="102"/>
  <c r="X11" i="102"/>
  <c r="Z13" i="102"/>
  <c r="Z5" i="102"/>
  <c r="Z11" i="102"/>
  <c r="Z3" i="102"/>
  <c r="Z16" i="102"/>
  <c r="Z12" i="102"/>
  <c r="Z8" i="102"/>
  <c r="Z15" i="102"/>
  <c r="Z7" i="102"/>
  <c r="Z14" i="102"/>
  <c r="Y15" i="102"/>
  <c r="Y11" i="102"/>
  <c r="Y8" i="102"/>
  <c r="Y16" i="102"/>
  <c r="Y7" i="102"/>
  <c r="Y14" i="102"/>
  <c r="Y10" i="102"/>
  <c r="Y9" i="102"/>
  <c r="Y5" i="102"/>
  <c r="Y13" i="102"/>
  <c r="Y4" i="102"/>
  <c r="Y12" i="102"/>
  <c r="Y3" i="102"/>
  <c r="AC15" i="102"/>
  <c r="AC7" i="102"/>
  <c r="AC3" i="102"/>
  <c r="AC8" i="102"/>
  <c r="AC14" i="102"/>
  <c r="AC9" i="102"/>
  <c r="AC5" i="102"/>
  <c r="AC4" i="102"/>
  <c r="AA11" i="102"/>
  <c r="AA3" i="102"/>
  <c r="AA13" i="102"/>
  <c r="AA5" i="102"/>
  <c r="AA12" i="102"/>
  <c r="AA4" i="102"/>
  <c r="AA14" i="102"/>
  <c r="AA10" i="102"/>
  <c r="AA6" i="102"/>
  <c r="AA9" i="102"/>
  <c r="AA16" i="102"/>
  <c r="AA8" i="102"/>
  <c r="AA7" i="102"/>
  <c r="AA15" i="102"/>
  <c r="AB14" i="102"/>
  <c r="AB5" i="102"/>
  <c r="AB13" i="102"/>
  <c r="AB8" i="102"/>
  <c r="AB12" i="102"/>
  <c r="AB3" i="102"/>
  <c r="AB7" i="102"/>
  <c r="Z6" i="102"/>
  <c r="Z10" i="102"/>
  <c r="Z9" i="102"/>
  <c r="Z4" i="102"/>
  <c r="X9" i="102"/>
  <c r="Y6" i="102"/>
  <c r="AC6" i="102"/>
  <c r="AC10" i="102"/>
  <c r="AC13" i="102"/>
  <c r="AC12" i="102"/>
  <c r="AC16" i="102"/>
  <c r="AC11" i="102"/>
  <c r="E29" i="102" l="1"/>
  <c r="E38" i="102"/>
  <c r="E37" i="102"/>
  <c r="E32" i="102"/>
  <c r="E28" i="102"/>
  <c r="E21" i="102"/>
  <c r="E39" i="102"/>
  <c r="E33" i="102"/>
  <c r="E31" i="102"/>
  <c r="E36" i="102"/>
  <c r="E34" i="102"/>
  <c r="E30" i="102"/>
  <c r="E40" i="102"/>
  <c r="E17" i="102" l="1"/>
  <c r="E20" i="102"/>
  <c r="E27" i="102"/>
  <c r="E19" i="102"/>
  <c r="E35" i="102"/>
  <c r="E18" i="102"/>
  <c r="AC110" i="47"/>
  <c r="C7" i="7" l="1"/>
  <c r="C11" i="7"/>
  <c r="C12" i="7"/>
  <c r="AA12" i="7" s="1"/>
  <c r="C13" i="7"/>
  <c r="B6" i="7"/>
  <c r="T6" i="7" s="1"/>
  <c r="B7" i="7"/>
  <c r="B8" i="7"/>
  <c r="B11" i="7"/>
  <c r="B12" i="7"/>
  <c r="B13" i="7"/>
  <c r="C6" i="7"/>
  <c r="U6" i="7" s="1"/>
  <c r="AE3" i="47"/>
  <c r="AE4" i="47"/>
  <c r="C9" i="52"/>
  <c r="D8" i="7" s="1"/>
  <c r="I9" i="52"/>
  <c r="K9" i="52"/>
  <c r="M9" i="52"/>
  <c r="D1" i="51"/>
  <c r="B41" i="51"/>
  <c r="A33" i="92"/>
  <c r="A34" i="92"/>
  <c r="A38" i="92"/>
  <c r="B42" i="51"/>
  <c r="A6" i="92"/>
  <c r="A7" i="92"/>
  <c r="A11" i="92"/>
  <c r="C7" i="52"/>
  <c r="I7" i="52" s="1"/>
  <c r="C8" i="52"/>
  <c r="M8" i="52" s="1"/>
  <c r="I8" i="52"/>
  <c r="C10" i="52"/>
  <c r="I10" i="52" s="1"/>
  <c r="C11" i="52"/>
  <c r="C12" i="52"/>
  <c r="M12" i="52" s="1"/>
  <c r="C13" i="52"/>
  <c r="I13" i="52" s="1"/>
  <c r="C14" i="52"/>
  <c r="M14" i="52" s="1"/>
  <c r="D7" i="52"/>
  <c r="J7" i="52" s="1"/>
  <c r="D8" i="52"/>
  <c r="J8" i="52" s="1"/>
  <c r="D9" i="52"/>
  <c r="J9" i="52" s="1"/>
  <c r="D10" i="52"/>
  <c r="J10" i="52" s="1"/>
  <c r="D11" i="52"/>
  <c r="P11" i="52" s="1"/>
  <c r="D12" i="52"/>
  <c r="J12" i="52" s="1"/>
  <c r="D13" i="52"/>
  <c r="J13" i="52"/>
  <c r="D14" i="52"/>
  <c r="J14" i="52" s="1"/>
  <c r="C18" i="52"/>
  <c r="M18" i="52" s="1"/>
  <c r="C16" i="52"/>
  <c r="K16" i="52" s="1"/>
  <c r="C17" i="52"/>
  <c r="I17" i="52" s="1"/>
  <c r="C19" i="52"/>
  <c r="I19" i="52" s="1"/>
  <c r="K19" i="52"/>
  <c r="C20" i="52"/>
  <c r="M20" i="52" s="1"/>
  <c r="C21" i="52"/>
  <c r="M21" i="52" s="1"/>
  <c r="K21" i="52"/>
  <c r="C22" i="52"/>
  <c r="I23" i="52"/>
  <c r="K23" i="52"/>
  <c r="M23" i="52"/>
  <c r="D16" i="52"/>
  <c r="J16" i="52" s="1"/>
  <c r="D17" i="52"/>
  <c r="J17" i="52" s="1"/>
  <c r="D18" i="52"/>
  <c r="J18" i="52" s="1"/>
  <c r="D19" i="52"/>
  <c r="J19" i="52" s="1"/>
  <c r="L19" i="52"/>
  <c r="D20" i="52"/>
  <c r="J20" i="52" s="1"/>
  <c r="D21" i="52"/>
  <c r="L21" i="52" s="1"/>
  <c r="D22" i="52"/>
  <c r="F22" i="52" s="1"/>
  <c r="J23" i="52"/>
  <c r="L23" i="52"/>
  <c r="N23" i="52"/>
  <c r="C24" i="7"/>
  <c r="C24" i="51" s="1"/>
  <c r="I16" i="49"/>
  <c r="O16" i="49" s="1"/>
  <c r="K16" i="49"/>
  <c r="C5" i="38"/>
  <c r="D5" i="38"/>
  <c r="D22" i="38" s="1"/>
  <c r="E5" i="38"/>
  <c r="E22" i="38" s="1"/>
  <c r="F5" i="38"/>
  <c r="G5" i="38"/>
  <c r="G22" i="38" s="1"/>
  <c r="D7" i="7"/>
  <c r="B9" i="7"/>
  <c r="Z9" i="7" s="1"/>
  <c r="B10" i="7"/>
  <c r="Z10" i="7" s="1"/>
  <c r="C8" i="7"/>
  <c r="U8" i="7" s="1"/>
  <c r="C9" i="7"/>
  <c r="AA9" i="7" s="1"/>
  <c r="C10" i="7"/>
  <c r="U10" i="7" s="1"/>
  <c r="J8" i="7"/>
  <c r="J7" i="7"/>
  <c r="J9" i="7"/>
  <c r="J11" i="7"/>
  <c r="J13" i="7"/>
  <c r="K13" i="7"/>
  <c r="U9" i="7"/>
  <c r="C16" i="49"/>
  <c r="V15" i="7" s="1"/>
  <c r="C22" i="38"/>
  <c r="F22" i="38"/>
  <c r="C6" i="38"/>
  <c r="C23" i="38" s="1"/>
  <c r="D6" i="38"/>
  <c r="E6" i="38"/>
  <c r="F6" i="38"/>
  <c r="G6" i="38"/>
  <c r="D23" i="38"/>
  <c r="E23" i="38"/>
  <c r="F23" i="38"/>
  <c r="G23" i="38"/>
  <c r="C42" i="49"/>
  <c r="D33" i="61" s="1"/>
  <c r="D33" i="59" s="1"/>
  <c r="D33" i="62" s="1"/>
  <c r="D33" i="60" s="1"/>
  <c r="C7" i="38"/>
  <c r="C24" i="38" s="1"/>
  <c r="D7" i="38"/>
  <c r="E7" i="38"/>
  <c r="E24" i="38" s="1"/>
  <c r="F7" i="38"/>
  <c r="G7" i="38"/>
  <c r="D24" i="38"/>
  <c r="F24" i="38"/>
  <c r="G24" i="38"/>
  <c r="C8" i="38"/>
  <c r="C25" i="38" s="1"/>
  <c r="D8" i="38"/>
  <c r="D25" i="38" s="1"/>
  <c r="E8" i="38"/>
  <c r="E25" i="38" s="1"/>
  <c r="F8" i="38"/>
  <c r="F25" i="38" s="1"/>
  <c r="G8" i="38"/>
  <c r="G25" i="38" s="1"/>
  <c r="C9" i="38"/>
  <c r="C26" i="38" s="1"/>
  <c r="D9" i="38"/>
  <c r="E9" i="38"/>
  <c r="F9" i="38"/>
  <c r="G9" i="38"/>
  <c r="G26" i="38" s="1"/>
  <c r="D26" i="38"/>
  <c r="E26" i="38"/>
  <c r="F26" i="38"/>
  <c r="C10" i="38"/>
  <c r="C27" i="38" s="1"/>
  <c r="D10" i="38"/>
  <c r="D27" i="38" s="1"/>
  <c r="E10" i="38"/>
  <c r="E27" i="38" s="1"/>
  <c r="F10" i="38"/>
  <c r="F27" i="38" s="1"/>
  <c r="G10" i="38"/>
  <c r="G27" i="38" s="1"/>
  <c r="AF3" i="47"/>
  <c r="AF4" i="47"/>
  <c r="C13" i="38"/>
  <c r="D13" i="38"/>
  <c r="D30" i="38" s="1"/>
  <c r="E13" i="38"/>
  <c r="F13" i="38"/>
  <c r="F30" i="38" s="1"/>
  <c r="G13" i="38"/>
  <c r="G30" i="38" s="1"/>
  <c r="C30" i="38"/>
  <c r="E30" i="38"/>
  <c r="AA13" i="78"/>
  <c r="C14" i="38"/>
  <c r="C31" i="38" s="1"/>
  <c r="D14" i="38"/>
  <c r="D31" i="38" s="1"/>
  <c r="E14" i="38"/>
  <c r="E31" i="38" s="1"/>
  <c r="F14" i="38"/>
  <c r="F31" i="38" s="1"/>
  <c r="G14" i="38"/>
  <c r="G31" i="38" s="1"/>
  <c r="C15" i="38"/>
  <c r="C32" i="38" s="1"/>
  <c r="D15" i="38"/>
  <c r="D32" i="38" s="1"/>
  <c r="E15" i="38"/>
  <c r="E32" i="38" s="1"/>
  <c r="F15" i="38"/>
  <c r="F32" i="38" s="1"/>
  <c r="G15" i="38"/>
  <c r="G32" i="38" s="1"/>
  <c r="C16" i="38"/>
  <c r="C33" i="38" s="1"/>
  <c r="D16" i="38"/>
  <c r="D33" i="38" s="1"/>
  <c r="E16" i="38"/>
  <c r="F16" i="38"/>
  <c r="F33" i="38" s="1"/>
  <c r="G16" i="38"/>
  <c r="G33" i="38" s="1"/>
  <c r="E33" i="38"/>
  <c r="C17" i="38"/>
  <c r="C34" i="38" s="1"/>
  <c r="D17" i="38"/>
  <c r="E17" i="38"/>
  <c r="F17" i="38"/>
  <c r="G17" i="38"/>
  <c r="D34" i="38"/>
  <c r="E34" i="38"/>
  <c r="F34" i="38"/>
  <c r="G34" i="38"/>
  <c r="C18" i="38"/>
  <c r="D18" i="38"/>
  <c r="D35" i="38" s="1"/>
  <c r="E18" i="38"/>
  <c r="F18" i="38"/>
  <c r="F35" i="38" s="1"/>
  <c r="G18" i="38"/>
  <c r="G35" i="38" s="1"/>
  <c r="C35" i="38"/>
  <c r="E35" i="38"/>
  <c r="AE13" i="47"/>
  <c r="AE14" i="47"/>
  <c r="AF13" i="47"/>
  <c r="AF14" i="47"/>
  <c r="E3" i="47"/>
  <c r="G3" i="47"/>
  <c r="K3" i="47"/>
  <c r="M3" i="47"/>
  <c r="O3" i="47"/>
  <c r="Q3" i="47"/>
  <c r="I3" i="47"/>
  <c r="S3" i="47"/>
  <c r="E4" i="47"/>
  <c r="G4" i="47"/>
  <c r="K4" i="47"/>
  <c r="M4" i="47"/>
  <c r="O4" i="47"/>
  <c r="Q4" i="47"/>
  <c r="I4" i="47"/>
  <c r="S4" i="47"/>
  <c r="E4" i="75"/>
  <c r="N5" i="41" s="1"/>
  <c r="G4" i="75"/>
  <c r="N5" i="58" s="1"/>
  <c r="L4" i="75"/>
  <c r="N5" i="45" s="1"/>
  <c r="N22" i="45" s="1"/>
  <c r="I4" i="75"/>
  <c r="M4" i="75"/>
  <c r="N10" i="46" s="1"/>
  <c r="N27" i="46" s="1"/>
  <c r="Y5" i="47"/>
  <c r="AA5" i="47"/>
  <c r="N23" i="41"/>
  <c r="K4" i="75"/>
  <c r="N6" i="45"/>
  <c r="N23" i="45" s="1"/>
  <c r="N23" i="72"/>
  <c r="N7" i="45"/>
  <c r="N24" i="45" s="1"/>
  <c r="N8" i="41"/>
  <c r="N25" i="58"/>
  <c r="N8" i="45"/>
  <c r="N25" i="45" s="1"/>
  <c r="N25" i="85"/>
  <c r="N9" i="45"/>
  <c r="N26" i="45" s="1"/>
  <c r="N26" i="72"/>
  <c r="N10" i="45"/>
  <c r="N27" i="45" s="1"/>
  <c r="N27" i="85"/>
  <c r="F3" i="47"/>
  <c r="H3" i="47"/>
  <c r="L3" i="47"/>
  <c r="N3" i="47"/>
  <c r="P3" i="47"/>
  <c r="R3" i="47"/>
  <c r="J3" i="47"/>
  <c r="T3" i="47"/>
  <c r="F4" i="47"/>
  <c r="H4" i="47"/>
  <c r="L4" i="47"/>
  <c r="N4" i="47"/>
  <c r="P4" i="47"/>
  <c r="R4" i="47"/>
  <c r="J4" i="47"/>
  <c r="T4" i="47"/>
  <c r="C4" i="75"/>
  <c r="N13" i="37" s="1"/>
  <c r="N30" i="37" s="1"/>
  <c r="F4" i="75"/>
  <c r="N13" i="41" s="1"/>
  <c r="AA13" i="58"/>
  <c r="N13" i="45"/>
  <c r="N30" i="45" s="1"/>
  <c r="Z5" i="47"/>
  <c r="N30" i="72"/>
  <c r="AA13" i="72"/>
  <c r="AA13" i="85"/>
  <c r="N14" i="41"/>
  <c r="N14" i="45"/>
  <c r="N31" i="45" s="1"/>
  <c r="N14" i="46"/>
  <c r="N31" i="46" s="1"/>
  <c r="N31" i="72"/>
  <c r="N32" i="41"/>
  <c r="N15" i="45"/>
  <c r="N32" i="45" s="1"/>
  <c r="N16" i="37"/>
  <c r="N33" i="37" s="1"/>
  <c r="N16" i="41"/>
  <c r="N16" i="45"/>
  <c r="N33" i="45" s="1"/>
  <c r="N16" i="46"/>
  <c r="N33" i="46" s="1"/>
  <c r="N17" i="37"/>
  <c r="N34" i="37" s="1"/>
  <c r="N17" i="41"/>
  <c r="N17" i="45"/>
  <c r="N34" i="45" s="1"/>
  <c r="N17" i="46"/>
  <c r="N34" i="46" s="1"/>
  <c r="N35" i="41"/>
  <c r="N18" i="45"/>
  <c r="N35" i="45" s="1"/>
  <c r="N18" i="46"/>
  <c r="N35" i="46" s="1"/>
  <c r="N18" i="72"/>
  <c r="E13" i="47"/>
  <c r="G13" i="47"/>
  <c r="K13" i="47"/>
  <c r="M13" i="47"/>
  <c r="O13" i="47"/>
  <c r="Q13" i="47"/>
  <c r="I13" i="47"/>
  <c r="S13" i="47"/>
  <c r="E14" i="47"/>
  <c r="G14" i="47"/>
  <c r="K14" i="47"/>
  <c r="M14" i="47"/>
  <c r="O14" i="47"/>
  <c r="Q14" i="47"/>
  <c r="I14" i="47"/>
  <c r="S14" i="47"/>
  <c r="Y15" i="47"/>
  <c r="AA15" i="47"/>
  <c r="U25" i="47"/>
  <c r="Y25" i="47"/>
  <c r="AA25" i="47"/>
  <c r="U26" i="47"/>
  <c r="Y26" i="47"/>
  <c r="AA26" i="47"/>
  <c r="U27" i="47"/>
  <c r="Y27" i="47"/>
  <c r="AA27" i="47"/>
  <c r="U28" i="47"/>
  <c r="Y28" i="47"/>
  <c r="AA28" i="47"/>
  <c r="U29" i="47"/>
  <c r="Y29" i="47"/>
  <c r="AA29" i="47"/>
  <c r="U30" i="47"/>
  <c r="Y30" i="47"/>
  <c r="AA30" i="47"/>
  <c r="F13" i="47"/>
  <c r="H13" i="47"/>
  <c r="L13" i="47"/>
  <c r="N13" i="47"/>
  <c r="P13" i="47"/>
  <c r="R13" i="47"/>
  <c r="J13" i="47"/>
  <c r="T13" i="47"/>
  <c r="F14" i="47"/>
  <c r="H14" i="47"/>
  <c r="L14" i="47"/>
  <c r="N14" i="47"/>
  <c r="P14" i="47"/>
  <c r="R14" i="47"/>
  <c r="J14" i="47"/>
  <c r="T14" i="47"/>
  <c r="Z15" i="47"/>
  <c r="V25" i="47"/>
  <c r="Z25" i="47"/>
  <c r="AB25" i="47"/>
  <c r="V26" i="47"/>
  <c r="Z26" i="47"/>
  <c r="AB26" i="47"/>
  <c r="V27" i="47"/>
  <c r="Z27" i="47"/>
  <c r="AB27" i="47"/>
  <c r="V28" i="47"/>
  <c r="Z28" i="47"/>
  <c r="AB28" i="47"/>
  <c r="V29" i="47"/>
  <c r="Z29" i="47"/>
  <c r="AB29" i="47"/>
  <c r="V30" i="47"/>
  <c r="Z30" i="47"/>
  <c r="AB30" i="47"/>
  <c r="AE23" i="47"/>
  <c r="AE24" i="47"/>
  <c r="F23" i="47"/>
  <c r="H23" i="47"/>
  <c r="L23" i="47"/>
  <c r="N23" i="47"/>
  <c r="P23" i="47"/>
  <c r="R23" i="47"/>
  <c r="V23" i="47"/>
  <c r="V33" i="47" s="1"/>
  <c r="J23" i="47"/>
  <c r="T23" i="47"/>
  <c r="F24" i="47"/>
  <c r="H24" i="47"/>
  <c r="L24" i="47"/>
  <c r="N24" i="47"/>
  <c r="P24" i="47"/>
  <c r="R24" i="47"/>
  <c r="V24" i="47"/>
  <c r="V34" i="47" s="1"/>
  <c r="J24" i="47"/>
  <c r="T24" i="47"/>
  <c r="T34" i="47" s="1"/>
  <c r="E23" i="47"/>
  <c r="G23" i="47"/>
  <c r="K23" i="47"/>
  <c r="M23" i="47"/>
  <c r="M33" i="47" s="1"/>
  <c r="O23" i="47"/>
  <c r="Q23" i="47"/>
  <c r="U23" i="47"/>
  <c r="U33" i="47" s="1"/>
  <c r="W23" i="47"/>
  <c r="S23" i="47"/>
  <c r="E24" i="47"/>
  <c r="G24" i="47"/>
  <c r="K24" i="47"/>
  <c r="K34" i="47" s="1"/>
  <c r="M24" i="47"/>
  <c r="M34" i="47" s="1"/>
  <c r="O24" i="47"/>
  <c r="O34" i="47" s="1"/>
  <c r="Q24" i="47"/>
  <c r="U24" i="47"/>
  <c r="U34" i="47" s="1"/>
  <c r="S24" i="47"/>
  <c r="G9" i="52"/>
  <c r="B40" i="51"/>
  <c r="G7" i="52"/>
  <c r="G10" i="52"/>
  <c r="G12" i="52"/>
  <c r="G13" i="52"/>
  <c r="G14" i="52"/>
  <c r="H9" i="52"/>
  <c r="H10" i="52"/>
  <c r="H13" i="52"/>
  <c r="G18" i="52"/>
  <c r="G19" i="52"/>
  <c r="G22" i="52"/>
  <c r="G23" i="52"/>
  <c r="H16" i="52"/>
  <c r="H21" i="52"/>
  <c r="H23" i="52"/>
  <c r="G16" i="49"/>
  <c r="E42" i="49"/>
  <c r="I23" i="47"/>
  <c r="I24" i="47"/>
  <c r="E9" i="52"/>
  <c r="E7" i="52"/>
  <c r="E10" i="52"/>
  <c r="E12" i="52"/>
  <c r="E13" i="52"/>
  <c r="E14" i="52"/>
  <c r="F9" i="52"/>
  <c r="F10" i="52"/>
  <c r="F13" i="52"/>
  <c r="U29" i="92"/>
  <c r="E18" i="52"/>
  <c r="E16" i="52"/>
  <c r="E19" i="52"/>
  <c r="E21" i="52"/>
  <c r="E22" i="52"/>
  <c r="E23" i="52"/>
  <c r="Q23" i="52" s="1"/>
  <c r="J13" i="51" s="1"/>
  <c r="F16" i="52"/>
  <c r="F17" i="52"/>
  <c r="F19" i="52"/>
  <c r="F21" i="52"/>
  <c r="R21" i="52" s="1"/>
  <c r="K11" i="51" s="1"/>
  <c r="F23" i="52"/>
  <c r="R23" i="52" s="1"/>
  <c r="K13" i="51" s="1"/>
  <c r="A91" i="92"/>
  <c r="A92" i="92"/>
  <c r="A96" i="92"/>
  <c r="U297" i="92"/>
  <c r="K33" i="49"/>
  <c r="I33" i="49"/>
  <c r="G33" i="49"/>
  <c r="M94" i="47"/>
  <c r="M92" i="47"/>
  <c r="M95" i="47"/>
  <c r="B39" i="51"/>
  <c r="A4" i="92"/>
  <c r="A5" i="92"/>
  <c r="A9" i="92"/>
  <c r="A61" i="92"/>
  <c r="A62" i="92"/>
  <c r="A66" i="92"/>
  <c r="U161" i="92"/>
  <c r="U92" i="92"/>
  <c r="H290" i="92"/>
  <c r="H291" i="92"/>
  <c r="H292" i="92"/>
  <c r="H293" i="92"/>
  <c r="H294" i="92"/>
  <c r="H295" i="92"/>
  <c r="H296" i="92"/>
  <c r="H297" i="92"/>
  <c r="H298" i="92"/>
  <c r="H299" i="92"/>
  <c r="H300" i="92"/>
  <c r="H301" i="92"/>
  <c r="H302" i="92"/>
  <c r="H303" i="92"/>
  <c r="H304" i="92"/>
  <c r="H305" i="92"/>
  <c r="H306" i="92"/>
  <c r="H307" i="92"/>
  <c r="H308" i="92"/>
  <c r="H309" i="92"/>
  <c r="H310" i="92"/>
  <c r="H311" i="92"/>
  <c r="H312" i="92"/>
  <c r="H313" i="92"/>
  <c r="H314" i="92"/>
  <c r="H315" i="92"/>
  <c r="H316" i="92"/>
  <c r="H317" i="92"/>
  <c r="H318" i="92"/>
  <c r="H319" i="92"/>
  <c r="H320" i="92"/>
  <c r="H321" i="92"/>
  <c r="H322" i="92"/>
  <c r="H323" i="92"/>
  <c r="H324" i="92"/>
  <c r="H325" i="92"/>
  <c r="H326" i="92"/>
  <c r="H327" i="92"/>
  <c r="H328" i="92"/>
  <c r="H329" i="92"/>
  <c r="H330" i="92"/>
  <c r="H331" i="92"/>
  <c r="H332" i="92"/>
  <c r="H333" i="92"/>
  <c r="H334" i="92"/>
  <c r="H335" i="92"/>
  <c r="H336" i="92"/>
  <c r="H337" i="92"/>
  <c r="H338" i="92"/>
  <c r="H339" i="92"/>
  <c r="H340" i="92"/>
  <c r="H341" i="92"/>
  <c r="H342" i="92"/>
  <c r="H343" i="92"/>
  <c r="H344" i="92"/>
  <c r="H345" i="92"/>
  <c r="H346" i="92"/>
  <c r="H347" i="92"/>
  <c r="H348" i="92"/>
  <c r="H349" i="92"/>
  <c r="H350" i="92"/>
  <c r="H351" i="92"/>
  <c r="H352" i="92"/>
  <c r="H353" i="92"/>
  <c r="H354" i="92"/>
  <c r="H355" i="92"/>
  <c r="H289" i="92"/>
  <c r="M4" i="54" s="1"/>
  <c r="H223" i="92"/>
  <c r="H224" i="92"/>
  <c r="H225" i="92"/>
  <c r="H226" i="92"/>
  <c r="H227" i="92"/>
  <c r="H228" i="92"/>
  <c r="H229" i="92"/>
  <c r="H230" i="92"/>
  <c r="H231" i="92"/>
  <c r="H232" i="92"/>
  <c r="H233" i="92"/>
  <c r="H234" i="92"/>
  <c r="H235" i="92"/>
  <c r="H236" i="92"/>
  <c r="H237" i="92"/>
  <c r="H238" i="92"/>
  <c r="H239" i="92"/>
  <c r="H240" i="92"/>
  <c r="H241" i="92"/>
  <c r="H242" i="92"/>
  <c r="H243" i="92"/>
  <c r="H244" i="92"/>
  <c r="H245" i="92"/>
  <c r="H246" i="92"/>
  <c r="H247" i="92"/>
  <c r="H248" i="92"/>
  <c r="H249" i="92"/>
  <c r="H250" i="92"/>
  <c r="H251" i="92"/>
  <c r="H252" i="92"/>
  <c r="H253" i="92"/>
  <c r="H254" i="92"/>
  <c r="H255" i="92"/>
  <c r="H256" i="92"/>
  <c r="H257" i="92"/>
  <c r="H258" i="92"/>
  <c r="H259" i="92"/>
  <c r="H260" i="92"/>
  <c r="H261" i="92"/>
  <c r="H262" i="92"/>
  <c r="H263" i="92"/>
  <c r="H264" i="92"/>
  <c r="H265" i="92"/>
  <c r="H266" i="92"/>
  <c r="H267" i="92"/>
  <c r="H268" i="92"/>
  <c r="H269" i="92"/>
  <c r="H270" i="92"/>
  <c r="H271" i="92"/>
  <c r="H272" i="92"/>
  <c r="H273" i="92"/>
  <c r="H274" i="92"/>
  <c r="H275" i="92"/>
  <c r="H276" i="92"/>
  <c r="H277" i="92"/>
  <c r="H278" i="92"/>
  <c r="H279" i="92"/>
  <c r="H280" i="92"/>
  <c r="H281" i="92"/>
  <c r="H282" i="92"/>
  <c r="H283" i="92"/>
  <c r="H284" i="92"/>
  <c r="H285" i="92"/>
  <c r="H286" i="92"/>
  <c r="H287" i="92"/>
  <c r="H288" i="92"/>
  <c r="H222" i="92"/>
  <c r="K4" i="54" s="1"/>
  <c r="K4" i="52" s="1"/>
  <c r="H156" i="92"/>
  <c r="H157" i="92"/>
  <c r="H158" i="92"/>
  <c r="H159" i="92"/>
  <c r="H160" i="92"/>
  <c r="H161" i="92"/>
  <c r="H162" i="92"/>
  <c r="H163" i="92"/>
  <c r="H164" i="92"/>
  <c r="H165" i="92"/>
  <c r="H166" i="92"/>
  <c r="H167" i="92"/>
  <c r="H168" i="92"/>
  <c r="H169" i="92"/>
  <c r="H170" i="92"/>
  <c r="H171" i="92"/>
  <c r="H172" i="92"/>
  <c r="H173" i="92"/>
  <c r="H174" i="92"/>
  <c r="H175" i="92"/>
  <c r="H176" i="92"/>
  <c r="H177" i="92"/>
  <c r="H178" i="92"/>
  <c r="H179" i="92"/>
  <c r="H180" i="92"/>
  <c r="H181" i="92"/>
  <c r="H182" i="92"/>
  <c r="H183" i="92"/>
  <c r="H184" i="92"/>
  <c r="H185" i="92"/>
  <c r="H186" i="92"/>
  <c r="H187" i="92"/>
  <c r="H188" i="92"/>
  <c r="H189" i="92"/>
  <c r="H190" i="92"/>
  <c r="H191" i="92"/>
  <c r="H192" i="92"/>
  <c r="H193" i="92"/>
  <c r="H194" i="92"/>
  <c r="H195" i="92"/>
  <c r="H196" i="92"/>
  <c r="H197" i="92"/>
  <c r="H198" i="92"/>
  <c r="H199" i="92"/>
  <c r="H200" i="92"/>
  <c r="H201" i="92"/>
  <c r="H202" i="92"/>
  <c r="H203" i="92"/>
  <c r="H204" i="92"/>
  <c r="H205" i="92"/>
  <c r="H206" i="92"/>
  <c r="H207" i="92"/>
  <c r="H208" i="92"/>
  <c r="H209" i="92"/>
  <c r="H210" i="92"/>
  <c r="H211" i="92"/>
  <c r="H212" i="92"/>
  <c r="H213" i="92"/>
  <c r="H214" i="92"/>
  <c r="H215" i="92"/>
  <c r="H216" i="92"/>
  <c r="H217" i="92"/>
  <c r="H218" i="92"/>
  <c r="H219" i="92"/>
  <c r="H220" i="92"/>
  <c r="H221" i="92"/>
  <c r="H155" i="92"/>
  <c r="I4" i="54" s="1"/>
  <c r="I6" i="49" s="1"/>
  <c r="H89" i="92"/>
  <c r="H90" i="92"/>
  <c r="H91" i="92"/>
  <c r="H92" i="92"/>
  <c r="H93" i="92"/>
  <c r="H94" i="92"/>
  <c r="H95" i="92"/>
  <c r="H96" i="92"/>
  <c r="H97" i="92"/>
  <c r="H98" i="92"/>
  <c r="H99" i="92"/>
  <c r="H100" i="92"/>
  <c r="H101" i="92"/>
  <c r="H102" i="92"/>
  <c r="H103" i="92"/>
  <c r="H104" i="92"/>
  <c r="H105" i="92"/>
  <c r="H106" i="92"/>
  <c r="H107" i="92"/>
  <c r="H108" i="92"/>
  <c r="H109" i="92"/>
  <c r="H110" i="92"/>
  <c r="H111" i="92"/>
  <c r="H112" i="92"/>
  <c r="H113" i="92"/>
  <c r="H114" i="92"/>
  <c r="H115" i="92"/>
  <c r="H116" i="92"/>
  <c r="H117" i="92"/>
  <c r="H118" i="92"/>
  <c r="H119" i="92"/>
  <c r="H120" i="92"/>
  <c r="H121" i="92"/>
  <c r="H122" i="92"/>
  <c r="H123" i="92"/>
  <c r="H124" i="92"/>
  <c r="H125" i="92"/>
  <c r="H126" i="92"/>
  <c r="H127" i="92"/>
  <c r="H128" i="92"/>
  <c r="H129" i="92"/>
  <c r="H130" i="92"/>
  <c r="H131" i="92"/>
  <c r="H132" i="92"/>
  <c r="H133" i="92"/>
  <c r="H134" i="92"/>
  <c r="H135" i="92"/>
  <c r="H136" i="92"/>
  <c r="H137" i="92"/>
  <c r="H138" i="92"/>
  <c r="H139" i="92"/>
  <c r="H140" i="92"/>
  <c r="H141" i="92"/>
  <c r="H142" i="92"/>
  <c r="H143" i="92"/>
  <c r="H144" i="92"/>
  <c r="H145" i="92"/>
  <c r="H146" i="92"/>
  <c r="H147" i="92"/>
  <c r="H148" i="92"/>
  <c r="H149" i="92"/>
  <c r="H150" i="92"/>
  <c r="H151" i="92"/>
  <c r="H152" i="92"/>
  <c r="H153" i="92"/>
  <c r="H154" i="92"/>
  <c r="H88" i="92"/>
  <c r="G4" i="54" s="1"/>
  <c r="G4" i="52" s="1"/>
  <c r="H22" i="92"/>
  <c r="H23" i="92"/>
  <c r="H24" i="92"/>
  <c r="H25" i="92"/>
  <c r="H26" i="92"/>
  <c r="H27" i="92"/>
  <c r="H28" i="92"/>
  <c r="H29" i="92"/>
  <c r="H30" i="92"/>
  <c r="H31" i="92"/>
  <c r="H32" i="92"/>
  <c r="H33" i="92"/>
  <c r="H34" i="92"/>
  <c r="H35" i="92"/>
  <c r="H36" i="92"/>
  <c r="H37" i="92"/>
  <c r="H38" i="92"/>
  <c r="H39" i="92"/>
  <c r="H40" i="92"/>
  <c r="H41" i="92"/>
  <c r="H42" i="92"/>
  <c r="H43" i="92"/>
  <c r="H44" i="92"/>
  <c r="H45" i="92"/>
  <c r="H46" i="92"/>
  <c r="H47" i="92"/>
  <c r="H48" i="92"/>
  <c r="H49" i="92"/>
  <c r="H50" i="92"/>
  <c r="H51" i="92"/>
  <c r="H52" i="92"/>
  <c r="H53" i="92"/>
  <c r="H54" i="92"/>
  <c r="H55" i="92"/>
  <c r="H56" i="92"/>
  <c r="H57" i="92"/>
  <c r="H58" i="92"/>
  <c r="H59" i="92"/>
  <c r="H60" i="92"/>
  <c r="H61" i="92"/>
  <c r="H62" i="92"/>
  <c r="H63" i="92"/>
  <c r="H64" i="92"/>
  <c r="H65" i="92"/>
  <c r="H66" i="92"/>
  <c r="H67" i="92"/>
  <c r="H68" i="92"/>
  <c r="H69" i="92"/>
  <c r="H70" i="92"/>
  <c r="H71" i="92"/>
  <c r="H72" i="92"/>
  <c r="H73" i="92"/>
  <c r="H74" i="92"/>
  <c r="H75" i="92"/>
  <c r="H76" i="92"/>
  <c r="H77" i="92"/>
  <c r="H78" i="92"/>
  <c r="H79" i="92"/>
  <c r="H80" i="92"/>
  <c r="H81" i="92"/>
  <c r="H82" i="92"/>
  <c r="H83" i="92"/>
  <c r="H84" i="92"/>
  <c r="H85" i="92"/>
  <c r="H86" i="92"/>
  <c r="H87" i="92"/>
  <c r="H21" i="92"/>
  <c r="E4" i="54" s="1"/>
  <c r="F1" i="101"/>
  <c r="R42" i="49"/>
  <c r="A355" i="92"/>
  <c r="A354" i="92"/>
  <c r="A353" i="92"/>
  <c r="A352" i="92"/>
  <c r="A351" i="92"/>
  <c r="A350" i="92"/>
  <c r="A349" i="92"/>
  <c r="A348" i="92"/>
  <c r="A347" i="92"/>
  <c r="A346" i="92"/>
  <c r="A345" i="92"/>
  <c r="A344" i="92"/>
  <c r="A343" i="92"/>
  <c r="A342" i="92"/>
  <c r="A341" i="92"/>
  <c r="A340" i="92"/>
  <c r="A339" i="92"/>
  <c r="A338" i="92"/>
  <c r="A337" i="92"/>
  <c r="A336" i="92"/>
  <c r="A335" i="92"/>
  <c r="A334" i="92"/>
  <c r="A333" i="92"/>
  <c r="A332" i="92"/>
  <c r="A331" i="92"/>
  <c r="A330" i="92"/>
  <c r="A329" i="92"/>
  <c r="A328" i="92"/>
  <c r="A327" i="92"/>
  <c r="A326" i="92"/>
  <c r="A325" i="92"/>
  <c r="A324" i="92"/>
  <c r="A323" i="92"/>
  <c r="A322" i="92"/>
  <c r="A321" i="92"/>
  <c r="A320" i="92"/>
  <c r="A319" i="92"/>
  <c r="A318" i="92"/>
  <c r="A317" i="92"/>
  <c r="A316" i="92"/>
  <c r="A315" i="92"/>
  <c r="A314" i="92"/>
  <c r="A313" i="92"/>
  <c r="A312" i="92"/>
  <c r="A311" i="92"/>
  <c r="A310" i="92"/>
  <c r="A309" i="92"/>
  <c r="A308" i="92"/>
  <c r="A307" i="92"/>
  <c r="A306" i="92"/>
  <c r="A305" i="92"/>
  <c r="A304" i="92"/>
  <c r="A303" i="92"/>
  <c r="A302" i="92"/>
  <c r="A301" i="92"/>
  <c r="A300" i="92"/>
  <c r="A299" i="92"/>
  <c r="A298" i="92"/>
  <c r="A297" i="92"/>
  <c r="A296" i="92"/>
  <c r="A295" i="92"/>
  <c r="A294" i="92"/>
  <c r="A293" i="92"/>
  <c r="A292" i="92"/>
  <c r="A111" i="92"/>
  <c r="A112" i="92"/>
  <c r="A116" i="92"/>
  <c r="A21" i="92"/>
  <c r="A22" i="92"/>
  <c r="A23" i="92"/>
  <c r="A24" i="92"/>
  <c r="A25" i="92"/>
  <c r="A26" i="92"/>
  <c r="A27" i="92"/>
  <c r="A28" i="92"/>
  <c r="A29" i="92"/>
  <c r="A30" i="92"/>
  <c r="A31" i="92"/>
  <c r="A32" i="92"/>
  <c r="A35" i="92"/>
  <c r="A36" i="92"/>
  <c r="A37" i="92"/>
  <c r="A39" i="92"/>
  <c r="A40" i="92"/>
  <c r="A41" i="92"/>
  <c r="A42" i="92"/>
  <c r="A43" i="92"/>
  <c r="A44" i="92"/>
  <c r="A45" i="92"/>
  <c r="A46" i="92"/>
  <c r="A47" i="92"/>
  <c r="A48" i="92"/>
  <c r="A49" i="92"/>
  <c r="A50" i="92"/>
  <c r="A51" i="92"/>
  <c r="A52" i="92"/>
  <c r="A53" i="92"/>
  <c r="A54" i="92"/>
  <c r="A55" i="92"/>
  <c r="A56" i="92"/>
  <c r="A57" i="92"/>
  <c r="A58" i="92"/>
  <c r="A59" i="92"/>
  <c r="A60" i="92"/>
  <c r="A63" i="92"/>
  <c r="A64" i="92"/>
  <c r="A65" i="92"/>
  <c r="A67" i="92"/>
  <c r="A68" i="92"/>
  <c r="A69" i="92"/>
  <c r="A70" i="92"/>
  <c r="A71" i="92"/>
  <c r="A72" i="92"/>
  <c r="A73" i="92"/>
  <c r="A74" i="92"/>
  <c r="A75" i="92"/>
  <c r="A76" i="92"/>
  <c r="A77" i="92"/>
  <c r="A78" i="92"/>
  <c r="A79" i="92"/>
  <c r="A80" i="92"/>
  <c r="A81" i="92"/>
  <c r="A82" i="92"/>
  <c r="A83" i="92"/>
  <c r="A84" i="92"/>
  <c r="A85" i="92"/>
  <c r="A86" i="92"/>
  <c r="A87" i="92"/>
  <c r="A88" i="92"/>
  <c r="A89" i="92"/>
  <c r="A90" i="92"/>
  <c r="A93" i="92"/>
  <c r="A94" i="92"/>
  <c r="A95" i="92"/>
  <c r="A97" i="92"/>
  <c r="A98" i="92"/>
  <c r="A99" i="92"/>
  <c r="A100" i="92"/>
  <c r="A101" i="92"/>
  <c r="A102" i="92"/>
  <c r="A103" i="92"/>
  <c r="A104" i="92"/>
  <c r="A105" i="92"/>
  <c r="A106" i="92"/>
  <c r="A107" i="92"/>
  <c r="A108" i="92"/>
  <c r="A109" i="92"/>
  <c r="A110" i="92"/>
  <c r="A113" i="92"/>
  <c r="A114" i="92"/>
  <c r="A115" i="92"/>
  <c r="A117" i="92"/>
  <c r="A118" i="92"/>
  <c r="A119" i="92"/>
  <c r="A120" i="92"/>
  <c r="A121" i="92"/>
  <c r="A122" i="92"/>
  <c r="A123" i="92"/>
  <c r="A124" i="92"/>
  <c r="A125" i="92"/>
  <c r="A126" i="92"/>
  <c r="A127" i="92"/>
  <c r="A128" i="92"/>
  <c r="A129" i="92"/>
  <c r="A130" i="92"/>
  <c r="A131" i="92"/>
  <c r="A132" i="92"/>
  <c r="A133" i="92"/>
  <c r="A134" i="92"/>
  <c r="A135" i="92"/>
  <c r="A136" i="92"/>
  <c r="A137" i="92"/>
  <c r="A138" i="92"/>
  <c r="A139" i="92"/>
  <c r="A140" i="92"/>
  <c r="A141" i="92"/>
  <c r="A142" i="92"/>
  <c r="A143" i="92"/>
  <c r="A144" i="92"/>
  <c r="A145" i="92"/>
  <c r="A146" i="92"/>
  <c r="A147" i="92"/>
  <c r="A148" i="92"/>
  <c r="A149" i="92"/>
  <c r="A150" i="92"/>
  <c r="A151" i="92"/>
  <c r="A152" i="92"/>
  <c r="A153" i="92"/>
  <c r="A154" i="92"/>
  <c r="A155" i="92"/>
  <c r="A156" i="92"/>
  <c r="A157" i="92"/>
  <c r="A158" i="92"/>
  <c r="A159" i="92"/>
  <c r="A160" i="92"/>
  <c r="A161" i="92"/>
  <c r="A162" i="92"/>
  <c r="A163" i="92"/>
  <c r="A164" i="92"/>
  <c r="A165" i="92"/>
  <c r="A166" i="92"/>
  <c r="A167" i="92"/>
  <c r="A168" i="92"/>
  <c r="A169" i="92"/>
  <c r="A170" i="92"/>
  <c r="A171" i="92"/>
  <c r="A172" i="92"/>
  <c r="A173" i="92"/>
  <c r="A174" i="92"/>
  <c r="A175" i="92"/>
  <c r="A176" i="92"/>
  <c r="A177" i="92"/>
  <c r="A178" i="92"/>
  <c r="A179" i="92"/>
  <c r="A180" i="92"/>
  <c r="A181" i="92"/>
  <c r="A182" i="92"/>
  <c r="A183" i="92"/>
  <c r="A184" i="92"/>
  <c r="A185" i="92"/>
  <c r="A186" i="92"/>
  <c r="A187" i="92"/>
  <c r="A188" i="92"/>
  <c r="A189" i="92"/>
  <c r="A190" i="92"/>
  <c r="A191" i="92"/>
  <c r="A192" i="92"/>
  <c r="A193" i="92"/>
  <c r="A194" i="92"/>
  <c r="A195" i="92"/>
  <c r="A196" i="92"/>
  <c r="A197" i="92"/>
  <c r="A198" i="92"/>
  <c r="A199" i="92"/>
  <c r="A200" i="92"/>
  <c r="A201" i="92"/>
  <c r="A202" i="92"/>
  <c r="A203" i="92"/>
  <c r="A204" i="92"/>
  <c r="A205" i="92"/>
  <c r="A206" i="92"/>
  <c r="A207" i="92"/>
  <c r="A208" i="92"/>
  <c r="A209" i="92"/>
  <c r="A210" i="92"/>
  <c r="A211" i="92"/>
  <c r="A212" i="92"/>
  <c r="A213" i="92"/>
  <c r="A214" i="92"/>
  <c r="A215" i="92"/>
  <c r="A216" i="92"/>
  <c r="A217" i="92"/>
  <c r="A218" i="92"/>
  <c r="A219" i="92"/>
  <c r="A220" i="92"/>
  <c r="A221" i="92"/>
  <c r="A222" i="92"/>
  <c r="A223" i="92"/>
  <c r="A224" i="92"/>
  <c r="A225" i="92"/>
  <c r="A226" i="92"/>
  <c r="A227" i="92"/>
  <c r="A228" i="92"/>
  <c r="A229" i="92"/>
  <c r="A230" i="92"/>
  <c r="A231" i="92"/>
  <c r="A232" i="92"/>
  <c r="A233" i="92"/>
  <c r="A234" i="92"/>
  <c r="A235" i="92"/>
  <c r="A236" i="92"/>
  <c r="A237" i="92"/>
  <c r="A238" i="92"/>
  <c r="A239" i="92"/>
  <c r="A240" i="92"/>
  <c r="A241" i="92"/>
  <c r="A242" i="92"/>
  <c r="A243" i="92"/>
  <c r="A244" i="92"/>
  <c r="A245" i="92"/>
  <c r="A246" i="92"/>
  <c r="A247" i="92"/>
  <c r="A248" i="92"/>
  <c r="A249" i="92"/>
  <c r="A250" i="92"/>
  <c r="A251" i="92"/>
  <c r="A252" i="92"/>
  <c r="A253" i="92"/>
  <c r="A254" i="92"/>
  <c r="A255" i="92"/>
  <c r="A256" i="92"/>
  <c r="A257" i="92"/>
  <c r="A258" i="92"/>
  <c r="A259" i="92"/>
  <c r="A260" i="92"/>
  <c r="A261" i="92"/>
  <c r="A262" i="92"/>
  <c r="A263" i="92"/>
  <c r="A264" i="92"/>
  <c r="A265" i="92"/>
  <c r="A266" i="92"/>
  <c r="A267" i="92"/>
  <c r="A268" i="92"/>
  <c r="A269" i="92"/>
  <c r="A270" i="92"/>
  <c r="A271" i="92"/>
  <c r="A272" i="92"/>
  <c r="A273" i="92"/>
  <c r="A274" i="92"/>
  <c r="A275" i="92"/>
  <c r="A276" i="92"/>
  <c r="A277" i="92"/>
  <c r="A278" i="92"/>
  <c r="A279" i="92"/>
  <c r="A280" i="92"/>
  <c r="A281" i="92"/>
  <c r="A282" i="92"/>
  <c r="A283" i="92"/>
  <c r="A284" i="92"/>
  <c r="A285" i="92"/>
  <c r="A286" i="92"/>
  <c r="A287" i="92"/>
  <c r="A288" i="92"/>
  <c r="A289" i="92"/>
  <c r="A290" i="92"/>
  <c r="A291" i="92"/>
  <c r="B43" i="51"/>
  <c r="R34" i="49"/>
  <c r="C41" i="54"/>
  <c r="E41" i="54" s="1"/>
  <c r="O4" i="52"/>
  <c r="I2" i="74"/>
  <c r="O6" i="49"/>
  <c r="M13" i="49"/>
  <c r="K13" i="49"/>
  <c r="M16" i="49"/>
  <c r="M17" i="49"/>
  <c r="K17" i="49"/>
  <c r="J2" i="100"/>
  <c r="P3" i="100" s="1"/>
  <c r="A2" i="92"/>
  <c r="A3" i="92"/>
  <c r="A8" i="92"/>
  <c r="A10" i="92"/>
  <c r="A12" i="92"/>
  <c r="A13" i="92"/>
  <c r="A14" i="92"/>
  <c r="A15" i="92"/>
  <c r="A16" i="92"/>
  <c r="A17" i="92"/>
  <c r="A18" i="92"/>
  <c r="A19" i="92"/>
  <c r="A20" i="92"/>
  <c r="A1" i="49"/>
  <c r="O23" i="52"/>
  <c r="P23" i="52"/>
  <c r="C4" i="54"/>
  <c r="C6" i="49" s="1"/>
  <c r="AG86" i="47"/>
  <c r="I1" i="83"/>
  <c r="C66" i="54"/>
  <c r="C65" i="54"/>
  <c r="O65" i="54" s="1"/>
  <c r="O59" i="54"/>
  <c r="O66" i="54"/>
  <c r="U1" i="61"/>
  <c r="Z33" i="47"/>
  <c r="AB33" i="47"/>
  <c r="Z34" i="47"/>
  <c r="AB34" i="47"/>
  <c r="Y33" i="47"/>
  <c r="AA33" i="47"/>
  <c r="Y34" i="47"/>
  <c r="AA34" i="47"/>
  <c r="AE76" i="47"/>
  <c r="L89" i="47"/>
  <c r="F89" i="47"/>
  <c r="P2" i="100"/>
  <c r="P5" i="100"/>
  <c r="A12" i="100"/>
  <c r="P12" i="100" s="1"/>
  <c r="C50" i="54"/>
  <c r="I13" i="49"/>
  <c r="G13" i="49"/>
  <c r="N4" i="74"/>
  <c r="N3" i="74"/>
  <c r="E16" i="49"/>
  <c r="O4" i="75"/>
  <c r="AF8" i="51"/>
  <c r="AF8" i="7"/>
  <c r="AF9" i="51"/>
  <c r="AF9" i="7"/>
  <c r="AF10" i="51"/>
  <c r="AF10" i="7"/>
  <c r="AF11" i="51"/>
  <c r="AF11" i="7"/>
  <c r="AF12" i="7"/>
  <c r="AF13" i="7"/>
  <c r="AG8" i="7"/>
  <c r="AG9" i="7"/>
  <c r="AG8" i="51"/>
  <c r="AG10" i="7"/>
  <c r="AG9" i="51"/>
  <c r="AG11" i="7"/>
  <c r="AG10" i="51"/>
  <c r="AG12" i="7"/>
  <c r="AG11" i="51"/>
  <c r="AG13" i="7"/>
  <c r="N22" i="37"/>
  <c r="N23" i="37"/>
  <c r="N24" i="37"/>
  <c r="N25" i="37"/>
  <c r="N26" i="37"/>
  <c r="N27" i="37"/>
  <c r="E11" i="60"/>
  <c r="N19" i="59"/>
  <c r="N11" i="59"/>
  <c r="E34" i="54"/>
  <c r="G34" i="54" s="1"/>
  <c r="I34" i="54" s="1"/>
  <c r="O34" i="54" s="1"/>
  <c r="P17" i="54"/>
  <c r="O17" i="54"/>
  <c r="E5" i="52"/>
  <c r="G5" i="52"/>
  <c r="I5" i="52"/>
  <c r="C5" i="52"/>
  <c r="I17" i="49"/>
  <c r="O17" i="49" s="1"/>
  <c r="K13" i="61"/>
  <c r="K11" i="61"/>
  <c r="K12" i="61"/>
  <c r="C3" i="54"/>
  <c r="J17" i="54"/>
  <c r="I17" i="54"/>
  <c r="H17" i="54"/>
  <c r="G17" i="54"/>
  <c r="F17" i="54"/>
  <c r="E17" i="54"/>
  <c r="D17" i="54"/>
  <c r="C17" i="54"/>
  <c r="G12" i="38"/>
  <c r="M12" i="45" s="1"/>
  <c r="F12" i="38"/>
  <c r="E12" i="38"/>
  <c r="E29" i="38" s="1"/>
  <c r="K29" i="45" s="1"/>
  <c r="D12" i="38"/>
  <c r="D29" i="38" s="1"/>
  <c r="J29" i="45" s="1"/>
  <c r="C12" i="38"/>
  <c r="I12" i="45" s="1"/>
  <c r="G11" i="38"/>
  <c r="G28" i="38" s="1"/>
  <c r="M28" i="45" s="1"/>
  <c r="F11" i="38"/>
  <c r="L11" i="45" s="1"/>
  <c r="F28" i="38"/>
  <c r="L28" i="45" s="1"/>
  <c r="E11" i="38"/>
  <c r="E28" i="38" s="1"/>
  <c r="K28" i="45" s="1"/>
  <c r="D11" i="38"/>
  <c r="J11" i="45" s="1"/>
  <c r="C11" i="38"/>
  <c r="I11" i="45" s="1"/>
  <c r="G4" i="38"/>
  <c r="G21" i="38" s="1"/>
  <c r="M21" i="45" s="1"/>
  <c r="F4" i="38"/>
  <c r="F21" i="38" s="1"/>
  <c r="L21" i="45" s="1"/>
  <c r="E4" i="38"/>
  <c r="E21" i="38"/>
  <c r="K21" i="45" s="1"/>
  <c r="D4" i="38"/>
  <c r="D21" i="38" s="1"/>
  <c r="J21" i="45" s="1"/>
  <c r="C4" i="38"/>
  <c r="C21" i="38" s="1"/>
  <c r="I21" i="45" s="1"/>
  <c r="G3" i="38"/>
  <c r="G20" i="38" s="1"/>
  <c r="M20" i="45" s="1"/>
  <c r="F3" i="38"/>
  <c r="F20" i="38" s="1"/>
  <c r="L20" i="45" s="1"/>
  <c r="E3" i="38"/>
  <c r="E20" i="38" s="1"/>
  <c r="K20" i="45" s="1"/>
  <c r="D3" i="38"/>
  <c r="D20" i="38" s="1"/>
  <c r="J20" i="45" s="1"/>
  <c r="C3" i="38"/>
  <c r="C20" i="38" s="1"/>
  <c r="I20" i="45" s="1"/>
  <c r="C17" i="49"/>
  <c r="AB15" i="7" s="1"/>
  <c r="G17" i="49"/>
  <c r="AA4" i="85"/>
  <c r="AA3" i="85"/>
  <c r="E17" i="49"/>
  <c r="AA4" i="75"/>
  <c r="Y4" i="75"/>
  <c r="W4" i="75"/>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2822" i="1"/>
  <c r="E2823" i="1"/>
  <c r="E2824" i="1"/>
  <c r="E2825" i="1"/>
  <c r="E2826" i="1"/>
  <c r="E2827" i="1"/>
  <c r="E2828" i="1"/>
  <c r="E2829" i="1"/>
  <c r="E2830" i="1"/>
  <c r="E2831" i="1"/>
  <c r="E2832" i="1"/>
  <c r="E2833" i="1"/>
  <c r="E2834" i="1"/>
  <c r="E2835" i="1"/>
  <c r="E2836" i="1"/>
  <c r="E2837" i="1"/>
  <c r="E2838"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58" i="1"/>
  <c r="E2759" i="1"/>
  <c r="E276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03" i="1"/>
  <c r="E2404" i="1"/>
  <c r="E2405" i="1"/>
  <c r="E2406" i="1"/>
  <c r="E2407" i="1"/>
  <c r="E2408" i="1"/>
  <c r="E2409" i="1"/>
  <c r="E2410" i="1"/>
  <c r="E2411" i="1"/>
  <c r="E2412" i="1"/>
  <c r="E2413" i="1"/>
  <c r="E2414" i="1"/>
  <c r="E2415" i="1"/>
  <c r="E2416" i="1"/>
  <c r="E2417" i="1"/>
  <c r="E2418" i="1"/>
  <c r="E2419" i="1"/>
  <c r="E2391" i="1"/>
  <c r="E2392" i="1"/>
  <c r="E2393" i="1"/>
  <c r="E2394" i="1"/>
  <c r="E2395" i="1"/>
  <c r="E2396" i="1"/>
  <c r="E2397" i="1"/>
  <c r="E2398" i="1"/>
  <c r="E2399" i="1"/>
  <c r="E2400" i="1"/>
  <c r="E2401" i="1"/>
  <c r="E2402"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U4" i="75"/>
  <c r="S6" i="75"/>
  <c r="S4" i="75"/>
  <c r="Q6" i="75"/>
  <c r="Q4" i="75" s="1"/>
  <c r="X7" i="52"/>
  <c r="Y7" i="52"/>
  <c r="Z7" i="52"/>
  <c r="AA7" i="52"/>
  <c r="AB7" i="52"/>
  <c r="AC7" i="52"/>
  <c r="AD7" i="52"/>
  <c r="AE7" i="52"/>
  <c r="AF7" i="52"/>
  <c r="AG7" i="52"/>
  <c r="AH7" i="52"/>
  <c r="AI7" i="52"/>
  <c r="V7" i="52"/>
  <c r="W7" i="52"/>
  <c r="AA4" i="72"/>
  <c r="AA3" i="72"/>
  <c r="AF7" i="7"/>
  <c r="AG7" i="7"/>
  <c r="AG6" i="7"/>
  <c r="AA3" i="58"/>
  <c r="AA4" i="58"/>
  <c r="D19" i="59"/>
  <c r="D19" i="62" s="1"/>
  <c r="D19" i="60" s="1"/>
  <c r="E31" i="62"/>
  <c r="E32" i="62"/>
  <c r="E33" i="62"/>
  <c r="E34" i="62"/>
  <c r="E35" i="62"/>
  <c r="E23" i="62"/>
  <c r="E24" i="62"/>
  <c r="E25" i="62"/>
  <c r="E26" i="62"/>
  <c r="E27" i="62"/>
  <c r="E31" i="59"/>
  <c r="E32" i="59"/>
  <c r="E33" i="59"/>
  <c r="E34" i="59"/>
  <c r="E35" i="59"/>
  <c r="E23" i="59"/>
  <c r="E24" i="59"/>
  <c r="E25" i="59"/>
  <c r="E26" i="59"/>
  <c r="E27" i="59"/>
  <c r="E31" i="61"/>
  <c r="E32" i="61"/>
  <c r="E33" i="61"/>
  <c r="E34" i="61"/>
  <c r="E35" i="61"/>
  <c r="E23" i="61"/>
  <c r="E24" i="61"/>
  <c r="E25" i="61"/>
  <c r="E26" i="61"/>
  <c r="E27" i="61"/>
  <c r="E30" i="62"/>
  <c r="E22" i="62"/>
  <c r="K12" i="62"/>
  <c r="E30" i="61"/>
  <c r="E22" i="61"/>
  <c r="K12" i="59"/>
  <c r="E22" i="59"/>
  <c r="E30" i="59"/>
  <c r="J19" i="45"/>
  <c r="AH28" i="37"/>
  <c r="AI28" i="37"/>
  <c r="AJ28" i="37"/>
  <c r="AH29" i="37"/>
  <c r="AI29" i="37"/>
  <c r="AJ29" i="37"/>
  <c r="AG28" i="37"/>
  <c r="AG29" i="37"/>
  <c r="U8" i="52"/>
  <c r="U9" i="52"/>
  <c r="U10" i="52"/>
  <c r="U11" i="52"/>
  <c r="U12" i="52"/>
  <c r="U13" i="52"/>
  <c r="U14" i="52"/>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D6" i="1"/>
  <c r="B35" i="38"/>
  <c r="B34" i="38"/>
  <c r="B33" i="38"/>
  <c r="B32" i="38"/>
  <c r="B31" i="38"/>
  <c r="B30" i="38"/>
  <c r="B29" i="38"/>
  <c r="B28" i="38"/>
  <c r="A28" i="38"/>
  <c r="B27" i="38"/>
  <c r="B26" i="38"/>
  <c r="B25" i="38"/>
  <c r="B24" i="38"/>
  <c r="B23" i="38"/>
  <c r="B22" i="38"/>
  <c r="B21" i="38"/>
  <c r="B20" i="38"/>
  <c r="A20" i="38"/>
  <c r="I19" i="45"/>
  <c r="K19" i="45"/>
  <c r="M19" i="45"/>
  <c r="L19" i="45"/>
  <c r="AF6" i="7"/>
  <c r="AG7" i="51"/>
  <c r="AF7" i="51"/>
  <c r="AG6" i="51"/>
  <c r="AF6" i="51"/>
  <c r="N11" i="61"/>
  <c r="N20" i="61" s="1"/>
  <c r="N19" i="61"/>
  <c r="N11" i="62"/>
  <c r="N19" i="62"/>
  <c r="N20" i="62" s="1"/>
  <c r="N21" i="62" s="1"/>
  <c r="AA32" i="47" s="1"/>
  <c r="AA76" i="47" s="1"/>
  <c r="E13" i="49"/>
  <c r="Q13" i="49" s="1"/>
  <c r="P16" i="52"/>
  <c r="O18" i="52"/>
  <c r="O9" i="52"/>
  <c r="O8" i="52"/>
  <c r="P17" i="52"/>
  <c r="O16" i="52"/>
  <c r="O7" i="52"/>
  <c r="O14" i="52"/>
  <c r="O22" i="52"/>
  <c r="P13" i="52"/>
  <c r="P21" i="52"/>
  <c r="O21" i="52"/>
  <c r="P12" i="52"/>
  <c r="O12" i="52"/>
  <c r="P19" i="52"/>
  <c r="O19" i="52"/>
  <c r="P10" i="52"/>
  <c r="O10" i="52"/>
  <c r="D21" i="61"/>
  <c r="D21" i="59" s="1"/>
  <c r="D21" i="62" s="1"/>
  <c r="D21" i="60" s="1"/>
  <c r="O41" i="54"/>
  <c r="O30" i="49" s="1"/>
  <c r="H12" i="100" s="1"/>
  <c r="K11" i="45"/>
  <c r="M11" i="45"/>
  <c r="K12" i="45"/>
  <c r="C28" i="38"/>
  <c r="I28" i="45" s="1"/>
  <c r="C29" i="38"/>
  <c r="I29" i="45" s="1"/>
  <c r="G19" i="83"/>
  <c r="E36" i="83"/>
  <c r="G36" i="83"/>
  <c r="E19" i="83"/>
  <c r="H19" i="83"/>
  <c r="F19" i="83"/>
  <c r="F36" i="83"/>
  <c r="H36" i="83"/>
  <c r="G53" i="83"/>
  <c r="F53" i="83"/>
  <c r="H53" i="83"/>
  <c r="E53" i="83"/>
  <c r="F70" i="83"/>
  <c r="H70" i="83"/>
  <c r="E70" i="83"/>
  <c r="G70" i="83"/>
  <c r="G87" i="83"/>
  <c r="F87" i="83"/>
  <c r="H87" i="83"/>
  <c r="E87" i="83"/>
  <c r="H161" i="83"/>
  <c r="G161" i="83"/>
  <c r="J20" i="60"/>
  <c r="W32" i="47" s="1"/>
  <c r="W76" i="47" s="1"/>
  <c r="F161" i="83"/>
  <c r="E161" i="83"/>
  <c r="F104" i="83"/>
  <c r="G104" i="83"/>
  <c r="H104" i="83"/>
  <c r="E104" i="83"/>
  <c r="O42" i="49"/>
  <c r="G121" i="83"/>
  <c r="F121" i="83"/>
  <c r="H121" i="83"/>
  <c r="E121" i="83"/>
  <c r="G138" i="83"/>
  <c r="H138" i="83"/>
  <c r="G157" i="83"/>
  <c r="E157" i="83"/>
  <c r="F157" i="83"/>
  <c r="H157" i="83"/>
  <c r="G179" i="83"/>
  <c r="N21" i="61" s="1"/>
  <c r="Y32" i="47" s="1"/>
  <c r="Y76" i="47" s="1"/>
  <c r="E179" i="83"/>
  <c r="F179" i="83"/>
  <c r="H179" i="83"/>
  <c r="G197" i="83"/>
  <c r="E197" i="83"/>
  <c r="H197" i="83"/>
  <c r="F197" i="83"/>
  <c r="H214" i="83"/>
  <c r="G214" i="83"/>
  <c r="F214" i="83"/>
  <c r="F215" i="83" s="1"/>
  <c r="F217" i="83" s="1"/>
  <c r="E214" i="83"/>
  <c r="G236" i="83"/>
  <c r="G216" i="83" s="1"/>
  <c r="F236" i="83"/>
  <c r="F216" i="83"/>
  <c r="H236" i="83"/>
  <c r="H216" i="83" s="1"/>
  <c r="K110" i="47"/>
  <c r="E236" i="83"/>
  <c r="E216" i="83" s="1"/>
  <c r="M110" i="47"/>
  <c r="J94" i="47"/>
  <c r="J92" i="47"/>
  <c r="K92" i="47"/>
  <c r="K95" i="47"/>
  <c r="K94" i="47"/>
  <c r="L94" i="47"/>
  <c r="L92" i="47"/>
  <c r="AA10" i="7" l="1"/>
  <c r="E20" i="52"/>
  <c r="F12" i="52"/>
  <c r="F8" i="52"/>
  <c r="H20" i="52"/>
  <c r="G17" i="52"/>
  <c r="H12" i="52"/>
  <c r="H8" i="52"/>
  <c r="N34" i="85"/>
  <c r="N16" i="85"/>
  <c r="N15" i="85"/>
  <c r="N32" i="58"/>
  <c r="N13" i="58"/>
  <c r="N27" i="72"/>
  <c r="N10" i="58"/>
  <c r="N25" i="72"/>
  <c r="N7" i="58"/>
  <c r="N5" i="85"/>
  <c r="G215" i="83"/>
  <c r="O17" i="52"/>
  <c r="H215" i="83"/>
  <c r="H217" i="83" s="1"/>
  <c r="C30" i="49"/>
  <c r="H6" i="100" s="1"/>
  <c r="O20" i="52"/>
  <c r="N20" i="59"/>
  <c r="N21" i="59" s="1"/>
  <c r="U32" i="47" s="1"/>
  <c r="U76" i="47" s="1"/>
  <c r="D2" i="100"/>
  <c r="F11" i="52"/>
  <c r="F7" i="52"/>
  <c r="H18" i="52"/>
  <c r="H11" i="52"/>
  <c r="H7" i="52"/>
  <c r="Q33" i="47"/>
  <c r="N34" i="72"/>
  <c r="N17" i="58"/>
  <c r="N16" i="72"/>
  <c r="N16" i="58"/>
  <c r="N15" i="72"/>
  <c r="N13" i="85"/>
  <c r="N13" i="46"/>
  <c r="N30" i="46" s="1"/>
  <c r="N10" i="41"/>
  <c r="N9" i="58"/>
  <c r="N8" i="46"/>
  <c r="N7" i="85"/>
  <c r="N24" i="41"/>
  <c r="N5" i="72"/>
  <c r="K10" i="7"/>
  <c r="J10" i="7"/>
  <c r="E13" i="7"/>
  <c r="E7" i="7"/>
  <c r="L16" i="52"/>
  <c r="K20" i="52"/>
  <c r="P8" i="52"/>
  <c r="E215" i="83"/>
  <c r="I41" i="54"/>
  <c r="I30" i="49" s="1"/>
  <c r="O13" i="52"/>
  <c r="P14" i="52"/>
  <c r="E17" i="52"/>
  <c r="F14" i="52"/>
  <c r="E8" i="52"/>
  <c r="H22" i="52"/>
  <c r="H17" i="52"/>
  <c r="G20" i="52"/>
  <c r="H14" i="52"/>
  <c r="G8" i="52"/>
  <c r="AE33" i="47"/>
  <c r="N18" i="85"/>
  <c r="N35" i="58"/>
  <c r="N15" i="46"/>
  <c r="N32" i="46" s="1"/>
  <c r="N31" i="85"/>
  <c r="N14" i="58"/>
  <c r="N26" i="85"/>
  <c r="N9" i="41"/>
  <c r="N7" i="72"/>
  <c r="N23" i="85"/>
  <c r="N23" i="58"/>
  <c r="K8" i="7"/>
  <c r="L9" i="7"/>
  <c r="N20" i="52"/>
  <c r="L18" i="52"/>
  <c r="I20" i="52"/>
  <c r="K17" i="52"/>
  <c r="K13" i="52"/>
  <c r="P20" i="52"/>
  <c r="P22" i="52"/>
  <c r="P9" i="52"/>
  <c r="P18" i="52"/>
  <c r="P7" i="52"/>
  <c r="Q17" i="49"/>
  <c r="AB15" i="51" s="1"/>
  <c r="F20" i="52"/>
  <c r="R20" i="52" s="1"/>
  <c r="K10" i="51" s="1"/>
  <c r="F18" i="52"/>
  <c r="Q20" i="52"/>
  <c r="J10" i="51" s="1"/>
  <c r="G42" i="49"/>
  <c r="H19" i="52"/>
  <c r="R19" i="52" s="1"/>
  <c r="K9" i="51" s="1"/>
  <c r="G21" i="52"/>
  <c r="Q21" i="52" s="1"/>
  <c r="J11" i="51" s="1"/>
  <c r="G16" i="52"/>
  <c r="N35" i="85"/>
  <c r="N35" i="72"/>
  <c r="N18" i="58"/>
  <c r="N18" i="41"/>
  <c r="N18" i="37"/>
  <c r="N35" i="37" s="1"/>
  <c r="N17" i="85"/>
  <c r="N17" i="72"/>
  <c r="N34" i="58"/>
  <c r="N34" i="41"/>
  <c r="N33" i="85"/>
  <c r="N33" i="72"/>
  <c r="N33" i="58"/>
  <c r="N33" i="41"/>
  <c r="N32" i="85"/>
  <c r="N32" i="72"/>
  <c r="N15" i="58"/>
  <c r="N15" i="41"/>
  <c r="N15" i="37"/>
  <c r="N32" i="37" s="1"/>
  <c r="N14" i="85"/>
  <c r="N14" i="72"/>
  <c r="N31" i="58"/>
  <c r="N31" i="41"/>
  <c r="N14" i="37"/>
  <c r="N31" i="37" s="1"/>
  <c r="N30" i="85"/>
  <c r="N13" i="72"/>
  <c r="N30" i="58"/>
  <c r="N30" i="41"/>
  <c r="D28" i="61"/>
  <c r="D28" i="59" s="1"/>
  <c r="D28" i="62" s="1"/>
  <c r="D28" i="60" s="1"/>
  <c r="N10" i="85"/>
  <c r="N10" i="72"/>
  <c r="N27" i="58"/>
  <c r="N9" i="85"/>
  <c r="N9" i="72"/>
  <c r="N26" i="58"/>
  <c r="N8" i="85"/>
  <c r="N8" i="72"/>
  <c r="N8" i="58"/>
  <c r="N24" i="85"/>
  <c r="N24" i="72"/>
  <c r="N24" i="58"/>
  <c r="N6" i="85"/>
  <c r="N6" i="72"/>
  <c r="N6" i="58"/>
  <c r="N22" i="85"/>
  <c r="N22" i="72"/>
  <c r="K9" i="7"/>
  <c r="L20" i="52"/>
  <c r="N19" i="52"/>
  <c r="N18" i="52"/>
  <c r="I21" i="52"/>
  <c r="AA6" i="7"/>
  <c r="K41" i="54"/>
  <c r="K30" i="49" s="1"/>
  <c r="E30" i="49"/>
  <c r="I42" i="49"/>
  <c r="D30" i="61"/>
  <c r="D30" i="59" s="1"/>
  <c r="D30" i="62" s="1"/>
  <c r="D30" i="60" s="1"/>
  <c r="D29" i="61"/>
  <c r="D29" i="59" s="1"/>
  <c r="D29" i="62" s="1"/>
  <c r="D29" i="60" s="1"/>
  <c r="D22" i="61"/>
  <c r="D22" i="59" s="1"/>
  <c r="D22" i="62" s="1"/>
  <c r="D22" i="60" s="1"/>
  <c r="D28" i="38"/>
  <c r="J28" i="45" s="1"/>
  <c r="Q16" i="49"/>
  <c r="V15" i="51" s="1"/>
  <c r="J12" i="45"/>
  <c r="G29" i="38"/>
  <c r="M29" i="45" s="1"/>
  <c r="J33" i="47"/>
  <c r="N27" i="41"/>
  <c r="N26" i="41"/>
  <c r="N25" i="41"/>
  <c r="D31" i="61"/>
  <c r="D31" i="59" s="1"/>
  <c r="D31" i="62" s="1"/>
  <c r="D31" i="60" s="1"/>
  <c r="D23" i="61"/>
  <c r="D23" i="59" s="1"/>
  <c r="D23" i="62" s="1"/>
  <c r="D23" i="60" s="1"/>
  <c r="J21" i="52"/>
  <c r="M19" i="52"/>
  <c r="M17" i="52"/>
  <c r="I16" i="52"/>
  <c r="K8" i="52"/>
  <c r="K33" i="47"/>
  <c r="J34" i="47"/>
  <c r="T33" i="47"/>
  <c r="R33" i="47"/>
  <c r="N7" i="41"/>
  <c r="N6" i="41"/>
  <c r="N22" i="58"/>
  <c r="D20" i="61"/>
  <c r="D20" i="59" s="1"/>
  <c r="D20" i="62" s="1"/>
  <c r="D20" i="60" s="1"/>
  <c r="D34" i="61"/>
  <c r="D34" i="59" s="1"/>
  <c r="D34" i="62" s="1"/>
  <c r="D34" i="60" s="1"/>
  <c r="D32" i="61"/>
  <c r="D32" i="59" s="1"/>
  <c r="D32" i="62" s="1"/>
  <c r="D32" i="60" s="1"/>
  <c r="D27" i="61"/>
  <c r="D27" i="59" s="1"/>
  <c r="D27" i="62" s="1"/>
  <c r="D27" i="60" s="1"/>
  <c r="D25" i="61"/>
  <c r="D25" i="59" s="1"/>
  <c r="D25" i="62" s="1"/>
  <c r="D25" i="60" s="1"/>
  <c r="J6" i="7"/>
  <c r="M9" i="7"/>
  <c r="D11" i="7"/>
  <c r="F11" i="7" s="1"/>
  <c r="N21" i="52"/>
  <c r="G41" i="54"/>
  <c r="D35" i="61"/>
  <c r="D35" i="59" s="1"/>
  <c r="D35" i="62" s="1"/>
  <c r="D35" i="60" s="1"/>
  <c r="D26" i="61"/>
  <c r="D26" i="59" s="1"/>
  <c r="D26" i="62" s="1"/>
  <c r="D26" i="60" s="1"/>
  <c r="K11" i="7"/>
  <c r="M11" i="7" s="1"/>
  <c r="D13" i="7"/>
  <c r="M8" i="7"/>
  <c r="M10" i="7"/>
  <c r="AA8" i="7"/>
  <c r="T10" i="7"/>
  <c r="L10" i="7"/>
  <c r="Z6" i="7"/>
  <c r="T9" i="7"/>
  <c r="T7" i="7"/>
  <c r="Z7" i="7"/>
  <c r="AA7" i="7"/>
  <c r="U7" i="7"/>
  <c r="T8" i="7"/>
  <c r="Z8" i="7"/>
  <c r="G7" i="7"/>
  <c r="L8" i="7"/>
  <c r="F7" i="7"/>
  <c r="F8" i="7"/>
  <c r="R18" i="52"/>
  <c r="K8" i="51" s="1"/>
  <c r="Q8" i="52"/>
  <c r="D7" i="51" s="1"/>
  <c r="Q18" i="52"/>
  <c r="J8" i="51" s="1"/>
  <c r="Q14" i="52"/>
  <c r="D13" i="51" s="1"/>
  <c r="Q12" i="52"/>
  <c r="D11" i="51" s="1"/>
  <c r="Q9" i="52"/>
  <c r="D8" i="51" s="1"/>
  <c r="Q19" i="52"/>
  <c r="J9" i="51" s="1"/>
  <c r="Q17" i="52"/>
  <c r="J7" i="51" s="1"/>
  <c r="R48" i="88"/>
  <c r="J19" i="102"/>
  <c r="U105" i="92" s="1"/>
  <c r="K19" i="102"/>
  <c r="U172" i="92" s="1"/>
  <c r="U164" i="92"/>
  <c r="I38" i="54" s="1"/>
  <c r="U157" i="92"/>
  <c r="I47" i="54" s="1"/>
  <c r="I10" i="49" s="1"/>
  <c r="U91" i="92"/>
  <c r="G46" i="54" s="1"/>
  <c r="G9" i="49" s="1"/>
  <c r="U34" i="92"/>
  <c r="E40" i="54" s="1"/>
  <c r="U21" i="92"/>
  <c r="U169" i="92"/>
  <c r="U23" i="92"/>
  <c r="E47" i="54" s="1"/>
  <c r="E10" i="49" s="1"/>
  <c r="U159" i="92"/>
  <c r="R147" i="88"/>
  <c r="U32" i="92"/>
  <c r="U166" i="92"/>
  <c r="U35" i="92"/>
  <c r="U24" i="92"/>
  <c r="E46" i="54" s="1"/>
  <c r="E9" i="49" s="1"/>
  <c r="E33" i="49"/>
  <c r="I20" i="102"/>
  <c r="U39" i="92" s="1"/>
  <c r="U33" i="92"/>
  <c r="E39" i="54" s="1"/>
  <c r="K20" i="102"/>
  <c r="U173" i="92" s="1"/>
  <c r="U90" i="92"/>
  <c r="G47" i="54" s="1"/>
  <c r="U158" i="92"/>
  <c r="I46" i="54" s="1"/>
  <c r="U290" i="92"/>
  <c r="U101" i="92"/>
  <c r="G40" i="54" s="1"/>
  <c r="U165" i="92"/>
  <c r="I37" i="54" s="1"/>
  <c r="G6" i="49"/>
  <c r="U155" i="92"/>
  <c r="U156" i="92"/>
  <c r="U162" i="92"/>
  <c r="I35" i="54" s="1"/>
  <c r="G2" i="74"/>
  <c r="A6" i="100"/>
  <c r="P6" i="100" s="1"/>
  <c r="U6" i="92"/>
  <c r="U222" i="92"/>
  <c r="U293" i="92"/>
  <c r="K17" i="102"/>
  <c r="U170" i="92" s="1"/>
  <c r="U302" i="92"/>
  <c r="M40" i="54" s="1"/>
  <c r="U5" i="92"/>
  <c r="C46" i="54" s="1"/>
  <c r="U294" i="92"/>
  <c r="M48" i="54" s="1"/>
  <c r="U98" i="92"/>
  <c r="G37" i="54" s="1"/>
  <c r="C2" i="74"/>
  <c r="U102" i="92"/>
  <c r="U26" i="92"/>
  <c r="E48" i="54" s="1"/>
  <c r="U22" i="92"/>
  <c r="U89" i="92"/>
  <c r="U226" i="92"/>
  <c r="I49" i="54"/>
  <c r="I12" i="49" s="1"/>
  <c r="U30" i="92"/>
  <c r="E38" i="54" s="1"/>
  <c r="U99" i="92"/>
  <c r="U100" i="92"/>
  <c r="G39" i="54" s="1"/>
  <c r="R146" i="88"/>
  <c r="C33" i="49" s="1"/>
  <c r="E3" i="1" s="1"/>
  <c r="E2" i="74"/>
  <c r="A10" i="100"/>
  <c r="P10" i="100" s="1"/>
  <c r="U25" i="92"/>
  <c r="U88" i="92"/>
  <c r="U31" i="92"/>
  <c r="E37" i="54" s="1"/>
  <c r="U97" i="92"/>
  <c r="G38" i="54" s="1"/>
  <c r="U95" i="92"/>
  <c r="G35" i="54" s="1"/>
  <c r="U232" i="92"/>
  <c r="K37" i="54" s="1"/>
  <c r="U28" i="92"/>
  <c r="E35" i="54" s="1"/>
  <c r="M4" i="52"/>
  <c r="H2" i="74"/>
  <c r="U223" i="92"/>
  <c r="U231" i="92"/>
  <c r="K38" i="54" s="1"/>
  <c r="U229" i="92"/>
  <c r="K35" i="54" s="1"/>
  <c r="U299" i="92"/>
  <c r="M37" i="54" s="1"/>
  <c r="A8" i="100"/>
  <c r="P8" i="100" s="1"/>
  <c r="U236" i="92"/>
  <c r="U224" i="92"/>
  <c r="K47" i="54" s="1"/>
  <c r="U291" i="92"/>
  <c r="M47" i="54" s="1"/>
  <c r="M33" i="49"/>
  <c r="U9" i="92"/>
  <c r="C39" i="54" s="1"/>
  <c r="K18" i="102"/>
  <c r="U171" i="92" s="1"/>
  <c r="U233" i="92"/>
  <c r="U298" i="92"/>
  <c r="M38" i="54" s="1"/>
  <c r="U296" i="92"/>
  <c r="M35" i="54" s="1"/>
  <c r="C4" i="52"/>
  <c r="K6" i="49"/>
  <c r="U225" i="92"/>
  <c r="K46" i="54" s="1"/>
  <c r="U289" i="92"/>
  <c r="U292" i="92"/>
  <c r="M46" i="54" s="1"/>
  <c r="U303" i="92"/>
  <c r="U300" i="92"/>
  <c r="H34" i="47"/>
  <c r="F33" i="47"/>
  <c r="H33" i="47"/>
  <c r="L33" i="47"/>
  <c r="P34" i="47"/>
  <c r="E34" i="47"/>
  <c r="N34" i="47"/>
  <c r="S34" i="47"/>
  <c r="S33" i="47"/>
  <c r="N33" i="47"/>
  <c r="AE34" i="47"/>
  <c r="O33" i="47"/>
  <c r="P33" i="47"/>
  <c r="F34" i="47"/>
  <c r="G33" i="47"/>
  <c r="Q34" i="47"/>
  <c r="E33" i="47"/>
  <c r="Z35" i="47"/>
  <c r="AA35" i="47"/>
  <c r="AC23" i="47"/>
  <c r="Y35" i="47"/>
  <c r="T13" i="7"/>
  <c r="F13" i="7"/>
  <c r="Z13" i="7"/>
  <c r="B14" i="7"/>
  <c r="U13" i="7"/>
  <c r="M13" i="7"/>
  <c r="AA13" i="7"/>
  <c r="G217" i="83"/>
  <c r="E217" i="83"/>
  <c r="D2" i="74"/>
  <c r="E4" i="52"/>
  <c r="E6" i="49"/>
  <c r="A7" i="100"/>
  <c r="P7" i="100" s="1"/>
  <c r="O63" i="54"/>
  <c r="O60" i="54"/>
  <c r="O58" i="54" s="1"/>
  <c r="H7" i="100"/>
  <c r="C13" i="49"/>
  <c r="O50" i="54"/>
  <c r="M11" i="52"/>
  <c r="I11" i="52"/>
  <c r="D10" i="7"/>
  <c r="F10" i="7" s="1"/>
  <c r="K11" i="52"/>
  <c r="G11" i="52"/>
  <c r="O11" i="52"/>
  <c r="E11" i="52"/>
  <c r="T11" i="7"/>
  <c r="Z11" i="7"/>
  <c r="U11" i="7"/>
  <c r="C14" i="7"/>
  <c r="AA11" i="7"/>
  <c r="F29" i="38"/>
  <c r="L29" i="45" s="1"/>
  <c r="L12" i="45"/>
  <c r="J18" i="102"/>
  <c r="U104" i="92" s="1"/>
  <c r="R34" i="47"/>
  <c r="AD24" i="47"/>
  <c r="U11" i="92"/>
  <c r="C36" i="54" s="1"/>
  <c r="U12" i="92"/>
  <c r="C37" i="54" s="1"/>
  <c r="U7" i="92"/>
  <c r="C47" i="54" s="1"/>
  <c r="U14" i="92"/>
  <c r="C38" i="54" s="1"/>
  <c r="U13" i="92"/>
  <c r="U4" i="92"/>
  <c r="U8" i="92"/>
  <c r="U15" i="92"/>
  <c r="C35" i="54" s="1"/>
  <c r="T12" i="7"/>
  <c r="Z12" i="7"/>
  <c r="U12" i="7"/>
  <c r="G34" i="47"/>
  <c r="AC24" i="47"/>
  <c r="L34" i="47"/>
  <c r="AD14" i="47"/>
  <c r="M36" i="54"/>
  <c r="E36" i="54"/>
  <c r="M6" i="49"/>
  <c r="AA1" i="49" s="1"/>
  <c r="G1" i="101" s="1"/>
  <c r="A11" i="100"/>
  <c r="P11" i="100" s="1"/>
  <c r="I4" i="52"/>
  <c r="F2" i="74"/>
  <c r="A9" i="100"/>
  <c r="P9" i="100" s="1"/>
  <c r="U96" i="92"/>
  <c r="G36" i="54" s="1"/>
  <c r="U163" i="92"/>
  <c r="I36" i="54" s="1"/>
  <c r="U230" i="92"/>
  <c r="K36" i="54" s="1"/>
  <c r="N5" i="78"/>
  <c r="N6" i="78"/>
  <c r="N22" i="78"/>
  <c r="N23" i="78"/>
  <c r="N8" i="78"/>
  <c r="N7" i="78"/>
  <c r="N25" i="78"/>
  <c r="N26" i="78"/>
  <c r="N9" i="78"/>
  <c r="N27" i="78"/>
  <c r="N15" i="78"/>
  <c r="N32" i="78"/>
  <c r="N10" i="78"/>
  <c r="N30" i="78"/>
  <c r="N24" i="78"/>
  <c r="N16" i="78"/>
  <c r="N33" i="78"/>
  <c r="N18" i="78"/>
  <c r="N13" i="78"/>
  <c r="N35" i="78"/>
  <c r="N31" i="78"/>
  <c r="N34" i="78"/>
  <c r="N17" i="78"/>
  <c r="N14" i="78"/>
  <c r="B8" i="51"/>
  <c r="B6" i="51"/>
  <c r="B7" i="51"/>
  <c r="B9" i="51"/>
  <c r="B10" i="51"/>
  <c r="B11" i="51"/>
  <c r="B12" i="51"/>
  <c r="B13" i="51"/>
  <c r="L13" i="51" s="1"/>
  <c r="C6" i="51"/>
  <c r="C8" i="51"/>
  <c r="C10" i="51"/>
  <c r="C12" i="51"/>
  <c r="C13" i="51"/>
  <c r="M13" i="51" s="1"/>
  <c r="C11" i="51"/>
  <c r="C7" i="51"/>
  <c r="C9" i="51"/>
  <c r="N6" i="44"/>
  <c r="N7" i="44"/>
  <c r="N5" i="44"/>
  <c r="N9" i="44"/>
  <c r="N8" i="44"/>
  <c r="N13" i="44"/>
  <c r="N15" i="44"/>
  <c r="N10" i="44"/>
  <c r="N17" i="44"/>
  <c r="N18" i="44"/>
  <c r="N16" i="44"/>
  <c r="N14" i="44"/>
  <c r="AC14" i="47"/>
  <c r="N25" i="46"/>
  <c r="L11" i="52"/>
  <c r="N11" i="52"/>
  <c r="R11" i="52" s="1"/>
  <c r="E10" i="51" s="1"/>
  <c r="E10" i="7"/>
  <c r="G10" i="7" s="1"/>
  <c r="J11" i="52"/>
  <c r="AD4" i="47"/>
  <c r="N6" i="46"/>
  <c r="N5" i="46"/>
  <c r="N7" i="46"/>
  <c r="N9" i="46"/>
  <c r="L11" i="7"/>
  <c r="AC4" i="47"/>
  <c r="N22" i="41"/>
  <c r="L13" i="52"/>
  <c r="N13" i="52"/>
  <c r="R13" i="52" s="1"/>
  <c r="E12" i="51" s="1"/>
  <c r="E12" i="7"/>
  <c r="G12" i="7" s="1"/>
  <c r="K18" i="52"/>
  <c r="I18" i="52"/>
  <c r="M13" i="52"/>
  <c r="Q13" i="52" s="1"/>
  <c r="D12" i="51" s="1"/>
  <c r="D12" i="7"/>
  <c r="F12" i="7" s="1"/>
  <c r="K42" i="49"/>
  <c r="M42" i="49"/>
  <c r="Q42" i="49" s="1"/>
  <c r="D24" i="61"/>
  <c r="D24" i="59" s="1"/>
  <c r="D24" i="62" s="1"/>
  <c r="D24" i="60" s="1"/>
  <c r="N16" i="52"/>
  <c r="R16" i="52" s="1"/>
  <c r="K6" i="51" s="1"/>
  <c r="K6" i="7"/>
  <c r="I22" i="52"/>
  <c r="J12" i="7"/>
  <c r="K22" i="52"/>
  <c r="M22" i="52"/>
  <c r="Q22" i="52" s="1"/>
  <c r="J12" i="51" s="1"/>
  <c r="L7" i="52"/>
  <c r="N7" i="52"/>
  <c r="R7" i="52" s="1"/>
  <c r="E6" i="51" s="1"/>
  <c r="E6" i="7"/>
  <c r="L6" i="7"/>
  <c r="L13" i="7"/>
  <c r="L9" i="52"/>
  <c r="N9" i="52"/>
  <c r="R9" i="52" s="1"/>
  <c r="E8" i="51" s="1"/>
  <c r="E8" i="7"/>
  <c r="G8" i="7" s="1"/>
  <c r="K7" i="7"/>
  <c r="M7" i="7" s="1"/>
  <c r="G13" i="7"/>
  <c r="J22" i="52"/>
  <c r="L22" i="52"/>
  <c r="K12" i="7"/>
  <c r="M12" i="7" s="1"/>
  <c r="N22" i="52"/>
  <c r="R22" i="52" s="1"/>
  <c r="K12" i="51" s="1"/>
  <c r="N17" i="52"/>
  <c r="R17" i="52" s="1"/>
  <c r="K7" i="51" s="1"/>
  <c r="M16" i="52"/>
  <c r="Q16" i="52" s="1"/>
  <c r="J6" i="51" s="1"/>
  <c r="K14" i="52"/>
  <c r="K12" i="52"/>
  <c r="K10" i="52"/>
  <c r="K7" i="52"/>
  <c r="L17" i="52"/>
  <c r="L14" i="52"/>
  <c r="N14" i="52"/>
  <c r="R14" i="52" s="1"/>
  <c r="E13" i="51" s="1"/>
  <c r="L12" i="52"/>
  <c r="E11" i="7"/>
  <c r="G11" i="7" s="1"/>
  <c r="N12" i="52"/>
  <c r="R12" i="52" s="1"/>
  <c r="E11" i="51" s="1"/>
  <c r="L10" i="52"/>
  <c r="N10" i="52"/>
  <c r="R10" i="52" s="1"/>
  <c r="E9" i="51" s="1"/>
  <c r="E9" i="7"/>
  <c r="G9" i="7" s="1"/>
  <c r="L8" i="52"/>
  <c r="N8" i="52"/>
  <c r="R8" i="52" s="1"/>
  <c r="E7" i="51" s="1"/>
  <c r="I14" i="52"/>
  <c r="I12" i="52"/>
  <c r="L7" i="7"/>
  <c r="M10" i="52"/>
  <c r="Q10" i="52" s="1"/>
  <c r="D9" i="51" s="1"/>
  <c r="D9" i="7"/>
  <c r="F9" i="7" s="1"/>
  <c r="M7" i="52"/>
  <c r="Q7" i="52" s="1"/>
  <c r="D6" i="51" s="1"/>
  <c r="D6" i="7"/>
  <c r="M9" i="51" l="1"/>
  <c r="L10" i="51"/>
  <c r="G30" i="49"/>
  <c r="M41" i="54"/>
  <c r="M30" i="49" s="1"/>
  <c r="H11" i="100" s="1"/>
  <c r="T14" i="7"/>
  <c r="U14" i="7"/>
  <c r="AA14" i="7"/>
  <c r="M8" i="51"/>
  <c r="F7" i="51"/>
  <c r="M10" i="51"/>
  <c r="L8" i="51"/>
  <c r="Q11" i="52"/>
  <c r="D10" i="51" s="1"/>
  <c r="D14" i="51" s="1"/>
  <c r="U160" i="92"/>
  <c r="I48" i="54" s="1"/>
  <c r="I11" i="49" s="1"/>
  <c r="I19" i="102"/>
  <c r="U38" i="92" s="1"/>
  <c r="M19" i="102"/>
  <c r="U306" i="92" s="1"/>
  <c r="U93" i="92"/>
  <c r="G48" i="54" s="1"/>
  <c r="G11" i="49" s="1"/>
  <c r="J17" i="102"/>
  <c r="U103" i="92" s="1"/>
  <c r="I18" i="102"/>
  <c r="U37" i="92" s="1"/>
  <c r="I17" i="102"/>
  <c r="U36" i="92" s="1"/>
  <c r="U27" i="92"/>
  <c r="E49" i="54" s="1"/>
  <c r="E12" i="49" s="1"/>
  <c r="U20" i="92"/>
  <c r="M18" i="102"/>
  <c r="U305" i="92" s="1"/>
  <c r="I2" i="83"/>
  <c r="D10" i="83" s="1"/>
  <c r="D27" i="83" s="1"/>
  <c r="D44" i="83" s="1"/>
  <c r="D61" i="83" s="1"/>
  <c r="D78" i="83" s="1"/>
  <c r="D95" i="83" s="1"/>
  <c r="D112" i="83" s="1"/>
  <c r="D129" i="83" s="1"/>
  <c r="D148" i="83" s="1"/>
  <c r="D170" i="83" s="1"/>
  <c r="D188" i="83" s="1"/>
  <c r="D205" i="83" s="1"/>
  <c r="D234" i="83" s="1"/>
  <c r="U167" i="92"/>
  <c r="I39" i="54" s="1"/>
  <c r="U168" i="92"/>
  <c r="I40" i="54" s="1"/>
  <c r="I29" i="49" s="1"/>
  <c r="E26" i="49"/>
  <c r="F7" i="100" s="1"/>
  <c r="E29" i="54"/>
  <c r="E18" i="49" s="1"/>
  <c r="U94" i="92"/>
  <c r="G49" i="54" s="1"/>
  <c r="G12" i="49" s="1"/>
  <c r="J20" i="102"/>
  <c r="U106" i="92" s="1"/>
  <c r="M20" i="102"/>
  <c r="U307" i="92" s="1"/>
  <c r="U295" i="92"/>
  <c r="M49" i="54" s="1"/>
  <c r="M12" i="49" s="1"/>
  <c r="U235" i="92"/>
  <c r="K40" i="54" s="1"/>
  <c r="K29" i="49" s="1"/>
  <c r="L18" i="102"/>
  <c r="U238" i="92" s="1"/>
  <c r="L19" i="102"/>
  <c r="U239" i="92" s="1"/>
  <c r="U227" i="92"/>
  <c r="K48" i="54" s="1"/>
  <c r="K11" i="49" s="1"/>
  <c r="E41" i="102"/>
  <c r="U16" i="92" s="1"/>
  <c r="U301" i="92"/>
  <c r="M39" i="54" s="1"/>
  <c r="M31" i="54" s="1"/>
  <c r="M17" i="102"/>
  <c r="U304" i="92" s="1"/>
  <c r="U234" i="92"/>
  <c r="K39" i="54" s="1"/>
  <c r="K28" i="49" s="1"/>
  <c r="L17" i="102"/>
  <c r="U237" i="92" s="1"/>
  <c r="L20" i="102"/>
  <c r="U240" i="92" s="1"/>
  <c r="U228" i="92"/>
  <c r="K49" i="54" s="1"/>
  <c r="K12" i="49" s="1"/>
  <c r="AC34" i="47"/>
  <c r="AD34" i="47"/>
  <c r="G12" i="51"/>
  <c r="M12" i="51"/>
  <c r="L7" i="51"/>
  <c r="G11" i="51"/>
  <c r="L12" i="51"/>
  <c r="G9" i="51"/>
  <c r="G13" i="51"/>
  <c r="C45" i="54"/>
  <c r="C25" i="49"/>
  <c r="G29" i="49"/>
  <c r="C44" i="54"/>
  <c r="C24" i="49"/>
  <c r="C26" i="49"/>
  <c r="C29" i="54"/>
  <c r="T12" i="51"/>
  <c r="C53" i="47"/>
  <c r="Z12" i="51"/>
  <c r="G26" i="49"/>
  <c r="G29" i="54"/>
  <c r="G18" i="49" s="1"/>
  <c r="N25" i="44"/>
  <c r="U11" i="51"/>
  <c r="D52" i="47"/>
  <c r="AA11" i="51"/>
  <c r="T11" i="51"/>
  <c r="L11" i="51"/>
  <c r="F11" i="51"/>
  <c r="C52" i="47"/>
  <c r="Z11" i="51"/>
  <c r="G27" i="49"/>
  <c r="G30" i="54"/>
  <c r="G19" i="49" s="1"/>
  <c r="K27" i="49"/>
  <c r="K30" i="54"/>
  <c r="K19" i="49" s="1"/>
  <c r="I44" i="54"/>
  <c r="I24" i="49"/>
  <c r="E11" i="49"/>
  <c r="C63" i="54"/>
  <c r="C9" i="49"/>
  <c r="Z14" i="7"/>
  <c r="L12" i="7"/>
  <c r="L14" i="7" s="1"/>
  <c r="J14" i="7"/>
  <c r="F12" i="51"/>
  <c r="M11" i="51"/>
  <c r="N31" i="44"/>
  <c r="N26" i="44"/>
  <c r="U13" i="51"/>
  <c r="D54" i="47"/>
  <c r="AA13" i="51"/>
  <c r="T10" i="51"/>
  <c r="C51" i="47"/>
  <c r="Z10" i="51"/>
  <c r="K9" i="49"/>
  <c r="E42" i="102"/>
  <c r="U17" i="92" s="1"/>
  <c r="U10" i="92"/>
  <c r="C40" i="54" s="1"/>
  <c r="M10" i="49"/>
  <c r="C27" i="49"/>
  <c r="C30" i="54"/>
  <c r="N33" i="44"/>
  <c r="N22" i="44"/>
  <c r="U12" i="51"/>
  <c r="D53" i="47"/>
  <c r="AA12" i="51"/>
  <c r="T9" i="51"/>
  <c r="C50" i="47"/>
  <c r="Z9" i="51"/>
  <c r="K29" i="54"/>
  <c r="K18" i="49" s="1"/>
  <c r="K26" i="49"/>
  <c r="G45" i="54"/>
  <c r="G25" i="49"/>
  <c r="E4" i="74"/>
  <c r="E3" i="74" s="1"/>
  <c r="C28" i="49"/>
  <c r="D4" i="74"/>
  <c r="D3" i="74" s="1"/>
  <c r="M11" i="49"/>
  <c r="K45" i="54"/>
  <c r="K25" i="49"/>
  <c r="U10" i="51"/>
  <c r="D51" i="47"/>
  <c r="AA10" i="51"/>
  <c r="I45" i="54"/>
  <c r="I25" i="49"/>
  <c r="U8" i="51"/>
  <c r="D49" i="47"/>
  <c r="AA8" i="51"/>
  <c r="T6" i="51"/>
  <c r="C47" i="47"/>
  <c r="Z6" i="51"/>
  <c r="B14" i="51"/>
  <c r="I26" i="49"/>
  <c r="I29" i="54"/>
  <c r="I18" i="49" s="1"/>
  <c r="E29" i="49"/>
  <c r="M45" i="54"/>
  <c r="M25" i="49"/>
  <c r="H10" i="100"/>
  <c r="U7" i="51"/>
  <c r="AA7" i="51"/>
  <c r="D48" i="47"/>
  <c r="G43" i="54"/>
  <c r="H41" i="54" s="1"/>
  <c r="G24" i="49"/>
  <c r="G44" i="54"/>
  <c r="U3" i="92"/>
  <c r="C49" i="54" s="1"/>
  <c r="E44" i="102"/>
  <c r="U19" i="92" s="1"/>
  <c r="G7" i="51"/>
  <c r="N35" i="44"/>
  <c r="N24" i="44"/>
  <c r="G10" i="49"/>
  <c r="E27" i="49"/>
  <c r="E30" i="54"/>
  <c r="E19" i="49" s="1"/>
  <c r="K10" i="49"/>
  <c r="M6" i="51"/>
  <c r="K14" i="51"/>
  <c r="N26" i="46"/>
  <c r="N34" i="44"/>
  <c r="F9" i="51"/>
  <c r="G6" i="51"/>
  <c r="E14" i="51"/>
  <c r="N24" i="46"/>
  <c r="G10" i="51"/>
  <c r="N27" i="44"/>
  <c r="U6" i="51"/>
  <c r="D47" i="47"/>
  <c r="AA6" i="51"/>
  <c r="C14" i="51"/>
  <c r="T8" i="51"/>
  <c r="C49" i="47"/>
  <c r="Z8" i="51"/>
  <c r="I27" i="49"/>
  <c r="I30" i="54"/>
  <c r="I19" i="49" s="1"/>
  <c r="E25" i="49"/>
  <c r="E45" i="54"/>
  <c r="M27" i="49"/>
  <c r="M30" i="54"/>
  <c r="M19" i="49" s="1"/>
  <c r="M44" i="54"/>
  <c r="M24" i="49"/>
  <c r="E43" i="102"/>
  <c r="U18" i="92" s="1"/>
  <c r="U2" i="92"/>
  <c r="C48" i="54" s="1"/>
  <c r="C31" i="54" s="1"/>
  <c r="E44" i="54"/>
  <c r="E43" i="54"/>
  <c r="E24" i="49"/>
  <c r="N23" i="46"/>
  <c r="N30" i="44"/>
  <c r="H9" i="100"/>
  <c r="F6" i="7"/>
  <c r="D14" i="7"/>
  <c r="F6" i="51"/>
  <c r="M6" i="7"/>
  <c r="K14" i="7"/>
  <c r="T7" i="51"/>
  <c r="C48" i="47"/>
  <c r="Z7" i="51"/>
  <c r="M26" i="49"/>
  <c r="M29" i="54"/>
  <c r="M18" i="49" s="1"/>
  <c r="C10" i="49"/>
  <c r="E31" i="54"/>
  <c r="E28" i="49"/>
  <c r="O13" i="49"/>
  <c r="L6" i="51"/>
  <c r="J14" i="51"/>
  <c r="G6" i="7"/>
  <c r="E14" i="7"/>
  <c r="N23" i="44"/>
  <c r="M7" i="51"/>
  <c r="G8" i="51"/>
  <c r="D6" i="61"/>
  <c r="D7" i="61"/>
  <c r="D9" i="61"/>
  <c r="D8" i="61"/>
  <c r="D17" i="61"/>
  <c r="D14" i="61"/>
  <c r="D16" i="61"/>
  <c r="D18" i="61"/>
  <c r="D10" i="61"/>
  <c r="D3" i="61"/>
  <c r="D3" i="59" s="1"/>
  <c r="D3" i="62" s="1"/>
  <c r="D3" i="60" s="1"/>
  <c r="F3" i="60" s="1"/>
  <c r="G3" i="60" s="1"/>
  <c r="D5" i="61"/>
  <c r="D5" i="59" s="1"/>
  <c r="D15" i="61"/>
  <c r="D11" i="61"/>
  <c r="D11" i="59" s="1"/>
  <c r="D11" i="62" s="1"/>
  <c r="D11" i="60" s="1"/>
  <c r="F11" i="60" s="1"/>
  <c r="G11" i="60" s="1"/>
  <c r="D13" i="61"/>
  <c r="D13" i="59" s="1"/>
  <c r="D12" i="61"/>
  <c r="D12" i="59" s="1"/>
  <c r="D12" i="62" s="1"/>
  <c r="D12" i="60" s="1"/>
  <c r="D4" i="61"/>
  <c r="D4" i="59" s="1"/>
  <c r="D4" i="62" s="1"/>
  <c r="D4" i="60" s="1"/>
  <c r="L9" i="51"/>
  <c r="N22" i="46"/>
  <c r="N32" i="44"/>
  <c r="U9" i="51"/>
  <c r="AA9" i="51"/>
  <c r="D50" i="47"/>
  <c r="T13" i="51"/>
  <c r="F13" i="51"/>
  <c r="C54" i="47"/>
  <c r="Z13" i="51"/>
  <c r="I9" i="49"/>
  <c r="M29" i="49"/>
  <c r="K44" i="54"/>
  <c r="K24" i="49"/>
  <c r="G28" i="49"/>
  <c r="M9" i="49"/>
  <c r="P58" i="54"/>
  <c r="O61" i="54"/>
  <c r="F8" i="51"/>
  <c r="H8" i="100" l="1"/>
  <c r="Q30" i="49"/>
  <c r="AB11" i="7"/>
  <c r="AC11" i="7"/>
  <c r="AB13" i="7"/>
  <c r="V13" i="7"/>
  <c r="AD13" i="7" s="1"/>
  <c r="V8" i="7"/>
  <c r="AD8" i="7" s="1"/>
  <c r="V12" i="7"/>
  <c r="AD12" i="7" s="1"/>
  <c r="W8" i="7"/>
  <c r="AE8" i="7" s="1"/>
  <c r="W12" i="7"/>
  <c r="AE12" i="7" s="1"/>
  <c r="W13" i="7"/>
  <c r="AE13" i="7" s="1"/>
  <c r="W7" i="7"/>
  <c r="AE7" i="7" s="1"/>
  <c r="AB12" i="7"/>
  <c r="V7" i="7"/>
  <c r="AD7" i="7" s="1"/>
  <c r="V9" i="7"/>
  <c r="AD9" i="7" s="1"/>
  <c r="V11" i="7"/>
  <c r="AD11" i="7" s="1"/>
  <c r="V6" i="7"/>
  <c r="AD6" i="7" s="1"/>
  <c r="W10" i="7"/>
  <c r="AE10" i="7" s="1"/>
  <c r="W6" i="7"/>
  <c r="AE6" i="7" s="1"/>
  <c r="W9" i="7"/>
  <c r="AE9" i="7" s="1"/>
  <c r="W11" i="7"/>
  <c r="AE11" i="7" s="1"/>
  <c r="V10" i="7"/>
  <c r="AD10" i="7" s="1"/>
  <c r="AC13" i="7"/>
  <c r="F10" i="51"/>
  <c r="F14" i="51" s="1"/>
  <c r="G31" i="54"/>
  <c r="G20" i="49" s="1"/>
  <c r="D4" i="83"/>
  <c r="D21" i="83" s="1"/>
  <c r="D38" i="83" s="1"/>
  <c r="D55" i="83" s="1"/>
  <c r="D72" i="83" s="1"/>
  <c r="D89" i="83" s="1"/>
  <c r="D106" i="83" s="1"/>
  <c r="D123" i="83" s="1"/>
  <c r="D142" i="83" s="1"/>
  <c r="D164" i="83" s="1"/>
  <c r="D182" i="83" s="1"/>
  <c r="D199" i="83" s="1"/>
  <c r="D222" i="83" s="1"/>
  <c r="D3" i="83"/>
  <c r="D20" i="83" s="1"/>
  <c r="D15" i="83"/>
  <c r="D32" i="83" s="1"/>
  <c r="D49" i="83" s="1"/>
  <c r="D66" i="83" s="1"/>
  <c r="D83" i="83" s="1"/>
  <c r="D100" i="83" s="1"/>
  <c r="D117" i="83" s="1"/>
  <c r="D134" i="83" s="1"/>
  <c r="D153" i="83" s="1"/>
  <c r="D175" i="83" s="1"/>
  <c r="D193" i="83" s="1"/>
  <c r="D210" i="83" s="1"/>
  <c r="D229" i="83" s="1"/>
  <c r="E32" i="54"/>
  <c r="E21" i="49" s="1"/>
  <c r="D14" i="83"/>
  <c r="D31" i="83" s="1"/>
  <c r="D48" i="83" s="1"/>
  <c r="D65" i="83" s="1"/>
  <c r="D82" i="83" s="1"/>
  <c r="D99" i="83" s="1"/>
  <c r="D116" i="83" s="1"/>
  <c r="D133" i="83" s="1"/>
  <c r="D152" i="83" s="1"/>
  <c r="D174" i="83" s="1"/>
  <c r="D192" i="83" s="1"/>
  <c r="D209" i="83" s="1"/>
  <c r="D227" i="83" s="1"/>
  <c r="D8" i="83"/>
  <c r="D25" i="83" s="1"/>
  <c r="D42" i="83" s="1"/>
  <c r="D59" i="83" s="1"/>
  <c r="D76" i="83" s="1"/>
  <c r="D93" i="83" s="1"/>
  <c r="D110" i="83" s="1"/>
  <c r="D127" i="83" s="1"/>
  <c r="D146" i="83" s="1"/>
  <c r="D168" i="83" s="1"/>
  <c r="D186" i="83" s="1"/>
  <c r="D203" i="83" s="1"/>
  <c r="D230" i="83" s="1"/>
  <c r="I32" i="54"/>
  <c r="I21" i="49" s="1"/>
  <c r="D18" i="83"/>
  <c r="D35" i="83" s="1"/>
  <c r="D52" i="83" s="1"/>
  <c r="D69" i="83" s="1"/>
  <c r="D86" i="83" s="1"/>
  <c r="D103" i="83" s="1"/>
  <c r="D120" i="83" s="1"/>
  <c r="D137" i="83" s="1"/>
  <c r="D156" i="83" s="1"/>
  <c r="D178" i="83" s="1"/>
  <c r="D196" i="83" s="1"/>
  <c r="D213" i="83" s="1"/>
  <c r="D235" i="83" s="1"/>
  <c r="D5" i="83"/>
  <c r="D22" i="83" s="1"/>
  <c r="D39" i="83" s="1"/>
  <c r="D56" i="83" s="1"/>
  <c r="D73" i="83" s="1"/>
  <c r="D90" i="83" s="1"/>
  <c r="D107" i="83" s="1"/>
  <c r="D124" i="83" s="1"/>
  <c r="D143" i="83" s="1"/>
  <c r="D165" i="83" s="1"/>
  <c r="D183" i="83" s="1"/>
  <c r="D200" i="83" s="1"/>
  <c r="D224" i="83" s="1"/>
  <c r="D11" i="83"/>
  <c r="D28" i="83" s="1"/>
  <c r="D45" i="83" s="1"/>
  <c r="D62" i="83" s="1"/>
  <c r="D79" i="83" s="1"/>
  <c r="D96" i="83" s="1"/>
  <c r="D113" i="83" s="1"/>
  <c r="D130" i="83" s="1"/>
  <c r="D149" i="83" s="1"/>
  <c r="D171" i="83" s="1"/>
  <c r="D189" i="83" s="1"/>
  <c r="D206" i="83" s="1"/>
  <c r="D221" i="83" s="1"/>
  <c r="D12" i="83"/>
  <c r="D29" i="83" s="1"/>
  <c r="D46" i="83" s="1"/>
  <c r="D63" i="83" s="1"/>
  <c r="D80" i="83" s="1"/>
  <c r="D97" i="83" s="1"/>
  <c r="D114" i="83" s="1"/>
  <c r="D131" i="83" s="1"/>
  <c r="D150" i="83" s="1"/>
  <c r="D172" i="83" s="1"/>
  <c r="D190" i="83" s="1"/>
  <c r="D207" i="83" s="1"/>
  <c r="D223" i="83" s="1"/>
  <c r="D9" i="83"/>
  <c r="D26" i="83" s="1"/>
  <c r="D43" i="83" s="1"/>
  <c r="D60" i="83" s="1"/>
  <c r="D77" i="83" s="1"/>
  <c r="D94" i="83" s="1"/>
  <c r="D111" i="83" s="1"/>
  <c r="D128" i="83" s="1"/>
  <c r="D147" i="83" s="1"/>
  <c r="D169" i="83" s="1"/>
  <c r="D187" i="83" s="1"/>
  <c r="D204" i="83" s="1"/>
  <c r="D232" i="83" s="1"/>
  <c r="D16" i="83"/>
  <c r="D33" i="83" s="1"/>
  <c r="D50" i="83" s="1"/>
  <c r="D67" i="83" s="1"/>
  <c r="D84" i="83" s="1"/>
  <c r="D101" i="83" s="1"/>
  <c r="D118" i="83" s="1"/>
  <c r="D135" i="83" s="1"/>
  <c r="D154" i="83" s="1"/>
  <c r="D176" i="83" s="1"/>
  <c r="D194" i="83" s="1"/>
  <c r="D211" i="83" s="1"/>
  <c r="D231" i="83" s="1"/>
  <c r="D7" i="83"/>
  <c r="D24" i="83" s="1"/>
  <c r="D41" i="83" s="1"/>
  <c r="D58" i="83" s="1"/>
  <c r="D75" i="83" s="1"/>
  <c r="D92" i="83" s="1"/>
  <c r="D109" i="83" s="1"/>
  <c r="D126" i="83" s="1"/>
  <c r="D145" i="83" s="1"/>
  <c r="D167" i="83" s="1"/>
  <c r="D185" i="83" s="1"/>
  <c r="D202" i="83" s="1"/>
  <c r="D228" i="83" s="1"/>
  <c r="D13" i="83"/>
  <c r="D30" i="83" s="1"/>
  <c r="D47" i="83" s="1"/>
  <c r="D64" i="83" s="1"/>
  <c r="D81" i="83" s="1"/>
  <c r="D98" i="83" s="1"/>
  <c r="D115" i="83" s="1"/>
  <c r="D132" i="83" s="1"/>
  <c r="D151" i="83" s="1"/>
  <c r="D173" i="83" s="1"/>
  <c r="D191" i="83" s="1"/>
  <c r="D208" i="83" s="1"/>
  <c r="D225" i="83" s="1"/>
  <c r="D6" i="83"/>
  <c r="D23" i="83" s="1"/>
  <c r="D40" i="83" s="1"/>
  <c r="D57" i="83" s="1"/>
  <c r="D74" i="83" s="1"/>
  <c r="D91" i="83" s="1"/>
  <c r="D108" i="83" s="1"/>
  <c r="D125" i="83" s="1"/>
  <c r="D144" i="83" s="1"/>
  <c r="D166" i="83" s="1"/>
  <c r="D184" i="83" s="1"/>
  <c r="D201" i="83" s="1"/>
  <c r="D226" i="83" s="1"/>
  <c r="D17" i="83"/>
  <c r="D34" i="83" s="1"/>
  <c r="D51" i="83" s="1"/>
  <c r="D68" i="83" s="1"/>
  <c r="D85" i="83" s="1"/>
  <c r="D102" i="83" s="1"/>
  <c r="D119" i="83" s="1"/>
  <c r="D136" i="83" s="1"/>
  <c r="D155" i="83" s="1"/>
  <c r="D177" i="83" s="1"/>
  <c r="D195" i="83" s="1"/>
  <c r="D212" i="83" s="1"/>
  <c r="D233" i="83" s="1"/>
  <c r="I43" i="54"/>
  <c r="J41" i="54" s="1"/>
  <c r="M32" i="54"/>
  <c r="M21" i="49" s="1"/>
  <c r="F4" i="74"/>
  <c r="F3" i="74" s="1"/>
  <c r="K32" i="54"/>
  <c r="K21" i="49" s="1"/>
  <c r="I28" i="49"/>
  <c r="D9" i="100" s="1"/>
  <c r="M43" i="54"/>
  <c r="N36" i="54" s="1"/>
  <c r="G32" i="54"/>
  <c r="G21" i="49" s="1"/>
  <c r="M28" i="49"/>
  <c r="M31" i="49" s="1"/>
  <c r="H4" i="74"/>
  <c r="H3" i="74" s="1"/>
  <c r="I31" i="54"/>
  <c r="I20" i="49" s="1"/>
  <c r="G4" i="74"/>
  <c r="G3" i="74" s="1"/>
  <c r="K43" i="54"/>
  <c r="L36" i="54" s="1"/>
  <c r="K31" i="54"/>
  <c r="K20" i="49" s="1"/>
  <c r="O31" i="54"/>
  <c r="O33" i="54" s="1"/>
  <c r="C33" i="54"/>
  <c r="C22" i="49" s="1"/>
  <c r="C20" i="49"/>
  <c r="C10" i="100"/>
  <c r="M14" i="7"/>
  <c r="E8" i="49"/>
  <c r="F8" i="100"/>
  <c r="D8" i="100"/>
  <c r="W74" i="47"/>
  <c r="AA74" i="47"/>
  <c r="Y74" i="47"/>
  <c r="W84" i="47"/>
  <c r="W54" i="47"/>
  <c r="U74" i="47"/>
  <c r="W64" i="47"/>
  <c r="E11" i="100"/>
  <c r="F11" i="100"/>
  <c r="Q26" i="49"/>
  <c r="F15" i="61"/>
  <c r="D15" i="59"/>
  <c r="B7" i="100"/>
  <c r="E31" i="49"/>
  <c r="F29" i="49" s="1"/>
  <c r="G7" i="49"/>
  <c r="G52" i="54"/>
  <c r="H44" i="54" s="1"/>
  <c r="G14" i="7"/>
  <c r="I7" i="49"/>
  <c r="I52" i="54"/>
  <c r="J44" i="54" s="1"/>
  <c r="F8" i="61"/>
  <c r="D8" i="59"/>
  <c r="D7" i="100"/>
  <c r="F5" i="59"/>
  <c r="G5" i="59" s="1"/>
  <c r="D5" i="62"/>
  <c r="D5" i="60" s="1"/>
  <c r="F9" i="61"/>
  <c r="D9" i="59"/>
  <c r="T14" i="51"/>
  <c r="F41" i="54"/>
  <c r="F37" i="54"/>
  <c r="C7" i="100"/>
  <c r="AA14" i="51"/>
  <c r="G7" i="100"/>
  <c r="R7" i="100" s="1"/>
  <c r="B8" i="100"/>
  <c r="G31" i="49"/>
  <c r="H28" i="49" s="1"/>
  <c r="E7" i="100"/>
  <c r="K8" i="49"/>
  <c r="Q10" i="49"/>
  <c r="H37" i="54"/>
  <c r="C7" i="49"/>
  <c r="C58" i="54"/>
  <c r="C61" i="54"/>
  <c r="C52" i="54"/>
  <c r="D44" i="54" s="1"/>
  <c r="C62" i="54"/>
  <c r="H39" i="54"/>
  <c r="H3" i="60"/>
  <c r="I3" i="60"/>
  <c r="K3" i="60"/>
  <c r="F7" i="61"/>
  <c r="D7" i="59"/>
  <c r="F39" i="54"/>
  <c r="E7" i="49"/>
  <c r="E52" i="54"/>
  <c r="F36" i="54"/>
  <c r="G14" i="51"/>
  <c r="F38" i="54"/>
  <c r="H35" i="54"/>
  <c r="C11" i="100"/>
  <c r="Q25" i="49"/>
  <c r="AC107" i="47" s="1"/>
  <c r="F40" i="54"/>
  <c r="H36" i="54"/>
  <c r="C29" i="49"/>
  <c r="Q29" i="49" s="1"/>
  <c r="C32" i="54"/>
  <c r="O29" i="54"/>
  <c r="O37" i="54" s="1"/>
  <c r="C18" i="49"/>
  <c r="Q18" i="49" s="1"/>
  <c r="F10" i="61"/>
  <c r="D10" i="59"/>
  <c r="F35" i="54"/>
  <c r="C8" i="100"/>
  <c r="G10" i="100"/>
  <c r="H40" i="54"/>
  <c r="F18" i="61"/>
  <c r="D18" i="59"/>
  <c r="L14" i="51"/>
  <c r="M7" i="49"/>
  <c r="M52" i="54"/>
  <c r="N44" i="54" s="1"/>
  <c r="M8" i="49"/>
  <c r="G8" i="49"/>
  <c r="E8" i="100"/>
  <c r="G9" i="100"/>
  <c r="M14" i="51"/>
  <c r="D10" i="100"/>
  <c r="F9" i="100"/>
  <c r="C9" i="100"/>
  <c r="C19" i="49"/>
  <c r="Q19" i="49" s="1"/>
  <c r="O30" i="54"/>
  <c r="O38" i="54" s="1"/>
  <c r="B9" i="100"/>
  <c r="H38" i="54"/>
  <c r="C6" i="100"/>
  <c r="F6" i="61"/>
  <c r="D6" i="59"/>
  <c r="B11" i="100"/>
  <c r="Q24" i="49"/>
  <c r="AC108" i="47" s="1"/>
  <c r="U14" i="51"/>
  <c r="F6" i="100"/>
  <c r="F16" i="61"/>
  <c r="D16" i="59"/>
  <c r="Q9" i="49"/>
  <c r="B10" i="100"/>
  <c r="K31" i="49"/>
  <c r="L27" i="49" s="1"/>
  <c r="E9" i="100"/>
  <c r="F13" i="59"/>
  <c r="G13" i="59" s="1"/>
  <c r="D13" i="62"/>
  <c r="F14" i="61"/>
  <c r="D14" i="59"/>
  <c r="C11" i="49"/>
  <c r="Q11" i="49" s="1"/>
  <c r="M20" i="49"/>
  <c r="M33" i="54"/>
  <c r="M22" i="49" s="1"/>
  <c r="Z14" i="51"/>
  <c r="I8" i="49"/>
  <c r="D6" i="100"/>
  <c r="F10" i="100"/>
  <c r="G6" i="100"/>
  <c r="E10" i="100"/>
  <c r="AB10" i="7"/>
  <c r="AB9" i="7"/>
  <c r="AB6" i="7"/>
  <c r="AB7" i="7"/>
  <c r="AC8" i="7"/>
  <c r="AB8" i="7"/>
  <c r="AC7" i="7"/>
  <c r="AC9" i="7"/>
  <c r="AC10" i="7"/>
  <c r="AC6" i="7"/>
  <c r="AC12" i="7"/>
  <c r="G8" i="100"/>
  <c r="C43" i="54"/>
  <c r="D40" i="54" s="1"/>
  <c r="E20" i="49"/>
  <c r="E33" i="54"/>
  <c r="E22" i="49" s="1"/>
  <c r="K7" i="49"/>
  <c r="K52" i="54"/>
  <c r="L44" i="54" s="1"/>
  <c r="H11" i="60"/>
  <c r="X3" i="47" s="1"/>
  <c r="I11" i="60"/>
  <c r="X13" i="47" s="1"/>
  <c r="X21" i="47" s="1"/>
  <c r="K11" i="60"/>
  <c r="F17" i="61"/>
  <c r="D17" i="59"/>
  <c r="O22" i="49"/>
  <c r="F14" i="7"/>
  <c r="G11" i="100"/>
  <c r="Q27" i="49"/>
  <c r="C12" i="49"/>
  <c r="Q12" i="49" s="1"/>
  <c r="Q28" i="49"/>
  <c r="AC109" i="47" s="1"/>
  <c r="O110" i="47"/>
  <c r="B6" i="100"/>
  <c r="C8" i="49"/>
  <c r="C67" i="54"/>
  <c r="O67" i="54" s="1"/>
  <c r="R77" i="47" l="1"/>
  <c r="T58" i="47"/>
  <c r="I33" i="54"/>
  <c r="I22" i="49" s="1"/>
  <c r="Z79" i="47"/>
  <c r="V48" i="47"/>
  <c r="S48" i="47"/>
  <c r="K57" i="47"/>
  <c r="R78" i="47"/>
  <c r="M58" i="47"/>
  <c r="AA57" i="47"/>
  <c r="G33" i="54"/>
  <c r="G22" i="49" s="1"/>
  <c r="Q22" i="49" s="1"/>
  <c r="AB72" i="47"/>
  <c r="AC58" i="47"/>
  <c r="U77" i="47"/>
  <c r="O58" i="47"/>
  <c r="U70" i="47"/>
  <c r="AA78" i="47"/>
  <c r="M48" i="47"/>
  <c r="AA68" i="47"/>
  <c r="X70" i="47"/>
  <c r="U67" i="47"/>
  <c r="W68" i="47"/>
  <c r="E48" i="47"/>
  <c r="AE78" i="47"/>
  <c r="E68" i="47"/>
  <c r="Q68" i="47"/>
  <c r="S68" i="47"/>
  <c r="G78" i="47"/>
  <c r="G67" i="47"/>
  <c r="Y57" i="47"/>
  <c r="I57" i="47"/>
  <c r="I47" i="47"/>
  <c r="I77" i="47"/>
  <c r="K47" i="47"/>
  <c r="S57" i="47"/>
  <c r="AB71" i="47"/>
  <c r="V69" i="47"/>
  <c r="W72" i="47"/>
  <c r="AD68" i="47"/>
  <c r="Z78" i="47"/>
  <c r="AC67" i="47"/>
  <c r="G47" i="47"/>
  <c r="E47" i="47"/>
  <c r="D160" i="83"/>
  <c r="F48" i="47"/>
  <c r="J58" i="47"/>
  <c r="I58" i="47"/>
  <c r="M78" i="47"/>
  <c r="I48" i="47"/>
  <c r="K68" i="47"/>
  <c r="AE68" i="47"/>
  <c r="O78" i="47"/>
  <c r="Y58" i="47"/>
  <c r="AA48" i="47"/>
  <c r="AE48" i="47"/>
  <c r="AB70" i="47"/>
  <c r="Q77" i="47"/>
  <c r="M77" i="47"/>
  <c r="S67" i="47"/>
  <c r="S47" i="47"/>
  <c r="Y47" i="47"/>
  <c r="O77" i="47"/>
  <c r="AE47" i="47"/>
  <c r="AE58" i="47"/>
  <c r="U48" i="47"/>
  <c r="AA58" i="47"/>
  <c r="U78" i="47"/>
  <c r="Y68" i="47"/>
  <c r="Y78" i="47"/>
  <c r="I78" i="47"/>
  <c r="I68" i="47"/>
  <c r="W78" i="47"/>
  <c r="K48" i="47"/>
  <c r="G58" i="47"/>
  <c r="S78" i="47"/>
  <c r="Q48" i="47"/>
  <c r="AC48" i="47"/>
  <c r="V70" i="47"/>
  <c r="AB77" i="47"/>
  <c r="W58" i="47"/>
  <c r="O68" i="47"/>
  <c r="G48" i="47"/>
  <c r="Q58" i="47"/>
  <c r="M68" i="47"/>
  <c r="X73" i="47"/>
  <c r="Q57" i="47"/>
  <c r="Q67" i="47"/>
  <c r="AE67" i="47"/>
  <c r="G77" i="47"/>
  <c r="O57" i="47"/>
  <c r="M67" i="47"/>
  <c r="Y77" i="47"/>
  <c r="AC68" i="47"/>
  <c r="U58" i="47"/>
  <c r="S58" i="47"/>
  <c r="Y48" i="47"/>
  <c r="K78" i="47"/>
  <c r="G68" i="47"/>
  <c r="Q78" i="47"/>
  <c r="K58" i="47"/>
  <c r="E58" i="47"/>
  <c r="E78" i="47"/>
  <c r="O48" i="47"/>
  <c r="U68" i="47"/>
  <c r="W48" i="47"/>
  <c r="AC78" i="47"/>
  <c r="AA77" i="47"/>
  <c r="W67" i="47"/>
  <c r="K77" i="47"/>
  <c r="Q47" i="47"/>
  <c r="I67" i="47"/>
  <c r="G57" i="47"/>
  <c r="K67" i="47"/>
  <c r="U57" i="47"/>
  <c r="AE57" i="47"/>
  <c r="AE77" i="47"/>
  <c r="J36" i="54"/>
  <c r="Z70" i="47"/>
  <c r="T77" i="47"/>
  <c r="W71" i="47"/>
  <c r="X50" i="47"/>
  <c r="X60" i="47"/>
  <c r="X80" i="47"/>
  <c r="M57" i="47"/>
  <c r="O47" i="47"/>
  <c r="Y67" i="47"/>
  <c r="AA67" i="47"/>
  <c r="O67" i="47"/>
  <c r="E67" i="47"/>
  <c r="M47" i="47"/>
  <c r="E57" i="47"/>
  <c r="AA47" i="47"/>
  <c r="E77" i="47"/>
  <c r="U47" i="47"/>
  <c r="S77" i="47"/>
  <c r="I31" i="49"/>
  <c r="J24" i="49" s="1"/>
  <c r="F67" i="47"/>
  <c r="V47" i="47"/>
  <c r="P47" i="47"/>
  <c r="W52" i="47"/>
  <c r="W82" i="47"/>
  <c r="L37" i="54"/>
  <c r="F47" i="47"/>
  <c r="N77" i="47"/>
  <c r="J47" i="47"/>
  <c r="AA72" i="47"/>
  <c r="Y72" i="47"/>
  <c r="J39" i="54"/>
  <c r="Z47" i="47"/>
  <c r="T67" i="47"/>
  <c r="W62" i="47"/>
  <c r="U72" i="47"/>
  <c r="X61" i="47"/>
  <c r="L40" i="54"/>
  <c r="X59" i="47"/>
  <c r="Z58" i="47"/>
  <c r="H48" i="47"/>
  <c r="L58" i="47"/>
  <c r="P58" i="47"/>
  <c r="L39" i="54"/>
  <c r="H27" i="49"/>
  <c r="V71" i="47"/>
  <c r="X71" i="47"/>
  <c r="L35" i="54"/>
  <c r="H25" i="49"/>
  <c r="AB69" i="47"/>
  <c r="X79" i="47"/>
  <c r="X48" i="47"/>
  <c r="N58" i="47"/>
  <c r="R58" i="47"/>
  <c r="AF58" i="47"/>
  <c r="AB78" i="47"/>
  <c r="H78" i="47"/>
  <c r="AD78" i="47"/>
  <c r="Z71" i="47"/>
  <c r="X49" i="47"/>
  <c r="Z49" i="47"/>
  <c r="AB48" i="47"/>
  <c r="P78" i="47"/>
  <c r="X81" i="47"/>
  <c r="X51" i="47"/>
  <c r="X64" i="47"/>
  <c r="Z69" i="47"/>
  <c r="Z59" i="47"/>
  <c r="X69" i="47"/>
  <c r="J48" i="47"/>
  <c r="L78" i="47"/>
  <c r="P68" i="47"/>
  <c r="V68" i="47"/>
  <c r="T78" i="47"/>
  <c r="R48" i="47"/>
  <c r="AF48" i="47"/>
  <c r="N39" i="54"/>
  <c r="N67" i="47"/>
  <c r="T47" i="47"/>
  <c r="AF57" i="47"/>
  <c r="AB47" i="47"/>
  <c r="Y73" i="47"/>
  <c r="N47" i="47"/>
  <c r="L77" i="47"/>
  <c r="J77" i="47"/>
  <c r="H67" i="47"/>
  <c r="T57" i="47"/>
  <c r="AA71" i="47"/>
  <c r="R9" i="100"/>
  <c r="V77" i="47"/>
  <c r="W61" i="47"/>
  <c r="Z57" i="47"/>
  <c r="W51" i="47"/>
  <c r="W53" i="47"/>
  <c r="J38" i="54"/>
  <c r="X84" i="47"/>
  <c r="W50" i="47"/>
  <c r="W60" i="47"/>
  <c r="AA73" i="47"/>
  <c r="W83" i="47"/>
  <c r="X54" i="47"/>
  <c r="Z74" i="47"/>
  <c r="W80" i="47"/>
  <c r="Y70" i="47"/>
  <c r="W63" i="47"/>
  <c r="V74" i="47"/>
  <c r="AB74" i="47"/>
  <c r="X74" i="47"/>
  <c r="W70" i="47"/>
  <c r="AA70" i="47"/>
  <c r="W73" i="47"/>
  <c r="U73" i="47"/>
  <c r="D11" i="100"/>
  <c r="S11" i="100" s="1"/>
  <c r="X62" i="47"/>
  <c r="W49" i="47"/>
  <c r="Z68" i="47"/>
  <c r="X68" i="47"/>
  <c r="F68" i="47"/>
  <c r="X78" i="47"/>
  <c r="N78" i="47"/>
  <c r="J68" i="47"/>
  <c r="AB68" i="47"/>
  <c r="F78" i="47"/>
  <c r="L68" i="47"/>
  <c r="R68" i="47"/>
  <c r="N68" i="47"/>
  <c r="Z48" i="47"/>
  <c r="J78" i="47"/>
  <c r="X53" i="47"/>
  <c r="J45" i="54"/>
  <c r="W79" i="47"/>
  <c r="AD58" i="47"/>
  <c r="AB58" i="47"/>
  <c r="F58" i="47"/>
  <c r="V78" i="47"/>
  <c r="T68" i="47"/>
  <c r="H58" i="47"/>
  <c r="N48" i="47"/>
  <c r="V58" i="47"/>
  <c r="L48" i="47"/>
  <c r="X58" i="47"/>
  <c r="T48" i="47"/>
  <c r="H68" i="47"/>
  <c r="P48" i="47"/>
  <c r="AD48" i="47"/>
  <c r="AA79" i="47"/>
  <c r="W69" i="47"/>
  <c r="AB73" i="47"/>
  <c r="Z73" i="47"/>
  <c r="X72" i="47"/>
  <c r="Z72" i="47"/>
  <c r="J35" i="54"/>
  <c r="Q20" i="49"/>
  <c r="Y69" i="47"/>
  <c r="U69" i="47"/>
  <c r="Y59" i="47"/>
  <c r="D19" i="83"/>
  <c r="H47" i="47"/>
  <c r="Z67" i="47"/>
  <c r="L47" i="47"/>
  <c r="R47" i="47"/>
  <c r="F57" i="47"/>
  <c r="P57" i="47"/>
  <c r="AB57" i="47"/>
  <c r="P67" i="47"/>
  <c r="F77" i="47"/>
  <c r="R57" i="47"/>
  <c r="V57" i="47"/>
  <c r="H77" i="47"/>
  <c r="U71" i="47"/>
  <c r="J40" i="54"/>
  <c r="X83" i="47"/>
  <c r="K33" i="54"/>
  <c r="K22" i="49" s="1"/>
  <c r="V72" i="47"/>
  <c r="Y79" i="47"/>
  <c r="AA49" i="47"/>
  <c r="Y49" i="47"/>
  <c r="V73" i="47"/>
  <c r="X63" i="47"/>
  <c r="X82" i="47"/>
  <c r="X52" i="47"/>
  <c r="AA59" i="47"/>
  <c r="W59" i="47"/>
  <c r="AA69" i="47"/>
  <c r="R67" i="47"/>
  <c r="Z77" i="47"/>
  <c r="AB67" i="47"/>
  <c r="H57" i="47"/>
  <c r="J57" i="47"/>
  <c r="J67" i="47"/>
  <c r="V67" i="47"/>
  <c r="L57" i="47"/>
  <c r="P77" i="47"/>
  <c r="N57" i="47"/>
  <c r="L67" i="47"/>
  <c r="AF47" i="47"/>
  <c r="W81" i="47"/>
  <c r="Y71" i="47"/>
  <c r="J37" i="54"/>
  <c r="N38" i="54"/>
  <c r="N40" i="54"/>
  <c r="N35" i="54"/>
  <c r="N41" i="54"/>
  <c r="N37" i="54"/>
  <c r="Q7" i="100"/>
  <c r="D48" i="54"/>
  <c r="Q11" i="100"/>
  <c r="Q10" i="100"/>
  <c r="D45" i="54"/>
  <c r="R10" i="100"/>
  <c r="L24" i="49"/>
  <c r="N45" i="54"/>
  <c r="R8" i="100"/>
  <c r="L41" i="54"/>
  <c r="L38" i="54"/>
  <c r="D49" i="54"/>
  <c r="H45" i="54"/>
  <c r="AC8" i="51"/>
  <c r="V11" i="51"/>
  <c r="AD11" i="51" s="1"/>
  <c r="W11" i="51"/>
  <c r="AE11" i="51" s="1"/>
  <c r="AB10" i="51"/>
  <c r="W10" i="51"/>
  <c r="AE10" i="51" s="1"/>
  <c r="V6" i="51"/>
  <c r="AD6" i="51" s="1"/>
  <c r="AH111" i="47"/>
  <c r="AH116" i="47" s="1"/>
  <c r="AG111" i="47"/>
  <c r="AG116" i="47" s="1"/>
  <c r="AF111" i="47"/>
  <c r="AF116" i="47" s="1"/>
  <c r="AE111" i="47"/>
  <c r="AE116" i="47" s="1"/>
  <c r="AG112" i="47"/>
  <c r="AG117" i="47" s="1"/>
  <c r="AG121" i="47" s="1"/>
  <c r="AF112" i="47"/>
  <c r="AF117" i="47" s="1"/>
  <c r="AF121" i="47" s="1"/>
  <c r="AE112" i="47"/>
  <c r="AE117" i="47" s="1"/>
  <c r="AE121" i="47" s="1"/>
  <c r="AH112" i="47"/>
  <c r="AH117" i="47" s="1"/>
  <c r="AH121" i="47" s="1"/>
  <c r="AD13" i="47"/>
  <c r="D16" i="62"/>
  <c r="F16" i="59"/>
  <c r="G16" i="59" s="1"/>
  <c r="O62" i="54"/>
  <c r="O44" i="54" s="1"/>
  <c r="O45" i="54"/>
  <c r="J11" i="100"/>
  <c r="N30" i="49"/>
  <c r="L25" i="49"/>
  <c r="AB13" i="51"/>
  <c r="D14" i="62"/>
  <c r="F14" i="59"/>
  <c r="G14" i="59" s="1"/>
  <c r="I14" i="49"/>
  <c r="J8" i="49" s="1"/>
  <c r="AB12" i="51"/>
  <c r="L29" i="49"/>
  <c r="W6" i="51"/>
  <c r="AE6" i="51" s="1"/>
  <c r="W13" i="51"/>
  <c r="AE13" i="51" s="1"/>
  <c r="AC10" i="51"/>
  <c r="V10" i="51"/>
  <c r="AD10" i="51" s="1"/>
  <c r="D50" i="54"/>
  <c r="D47" i="54"/>
  <c r="D46" i="54"/>
  <c r="S9" i="100"/>
  <c r="R11" i="100"/>
  <c r="D36" i="83"/>
  <c r="D37" i="83"/>
  <c r="C21" i="49"/>
  <c r="Q21" i="49" s="1"/>
  <c r="O32" i="54"/>
  <c r="J7" i="100"/>
  <c r="F30" i="49"/>
  <c r="F26" i="49"/>
  <c r="AD3" i="47"/>
  <c r="AB7" i="51"/>
  <c r="X47" i="47"/>
  <c r="AC6" i="51"/>
  <c r="F28" i="49"/>
  <c r="AC11" i="51"/>
  <c r="F7" i="59"/>
  <c r="G7" i="59" s="1"/>
  <c r="D7" i="62"/>
  <c r="F25" i="49"/>
  <c r="F24" i="49"/>
  <c r="C19" i="7"/>
  <c r="O6" i="7" s="1"/>
  <c r="AC12" i="51"/>
  <c r="AA14" i="78"/>
  <c r="AA14" i="58"/>
  <c r="AA14" i="85"/>
  <c r="G14" i="61"/>
  <c r="AA14" i="72"/>
  <c r="L28" i="49"/>
  <c r="W7" i="51"/>
  <c r="AE7" i="51" s="1"/>
  <c r="AA10" i="78"/>
  <c r="G10" i="61"/>
  <c r="AA10" i="58"/>
  <c r="AA10" i="72"/>
  <c r="AA10" i="85"/>
  <c r="N25" i="49"/>
  <c r="E14" i="49"/>
  <c r="F8" i="49" s="1"/>
  <c r="AA7" i="78"/>
  <c r="AA7" i="72"/>
  <c r="AA7" i="85"/>
  <c r="G7" i="61"/>
  <c r="AA7" i="58"/>
  <c r="C18" i="7"/>
  <c r="H13" i="7" s="1"/>
  <c r="C25" i="7"/>
  <c r="K34" i="49" s="1"/>
  <c r="K56" i="54" s="1"/>
  <c r="C14" i="49"/>
  <c r="D8" i="49" s="1"/>
  <c r="Q8" i="100"/>
  <c r="F8" i="59"/>
  <c r="G8" i="59" s="1"/>
  <c r="D8" i="62"/>
  <c r="D15" i="62"/>
  <c r="F15" i="59"/>
  <c r="G15" i="59" s="1"/>
  <c r="AB11" i="51"/>
  <c r="O27" i="49"/>
  <c r="O47" i="54"/>
  <c r="H30" i="49"/>
  <c r="J8" i="100"/>
  <c r="H26" i="49"/>
  <c r="N24" i="49"/>
  <c r="S10" i="100"/>
  <c r="F10" i="59"/>
  <c r="G10" i="59" s="1"/>
  <c r="D10" i="62"/>
  <c r="E6" i="100"/>
  <c r="S6" i="100" s="1"/>
  <c r="H24" i="49"/>
  <c r="Q6" i="100"/>
  <c r="N28" i="49"/>
  <c r="V8" i="51"/>
  <c r="AD8" i="51" s="1"/>
  <c r="L46" i="54"/>
  <c r="L49" i="54"/>
  <c r="L47" i="54"/>
  <c r="L48" i="54"/>
  <c r="L26" i="49"/>
  <c r="AB6" i="51"/>
  <c r="V7" i="51"/>
  <c r="AD7" i="51" s="1"/>
  <c r="F13" i="62"/>
  <c r="G13" i="62" s="1"/>
  <c r="D13" i="60"/>
  <c r="Q9" i="100"/>
  <c r="H29" i="49"/>
  <c r="AC9" i="51"/>
  <c r="F43" i="54"/>
  <c r="X23" i="47"/>
  <c r="K19" i="60"/>
  <c r="K20" i="60" s="1"/>
  <c r="W42" i="47" s="1"/>
  <c r="V13" i="51"/>
  <c r="AD13" i="51" s="1"/>
  <c r="V12" i="51"/>
  <c r="AD12" i="51" s="1"/>
  <c r="L45" i="54"/>
  <c r="AA8" i="78"/>
  <c r="AA8" i="58"/>
  <c r="G8" i="61"/>
  <c r="AA8" i="72"/>
  <c r="AA8" i="85"/>
  <c r="AA15" i="78"/>
  <c r="AA15" i="58"/>
  <c r="AA15" i="72"/>
  <c r="AA15" i="85"/>
  <c r="G15" i="61"/>
  <c r="N29" i="49"/>
  <c r="H5" i="59"/>
  <c r="I5" i="59"/>
  <c r="F47" i="54"/>
  <c r="F46" i="54"/>
  <c r="F49" i="54"/>
  <c r="F48" i="54"/>
  <c r="F27" i="49"/>
  <c r="J49" i="54"/>
  <c r="J47" i="54"/>
  <c r="J46" i="54"/>
  <c r="J48" i="54"/>
  <c r="V9" i="51"/>
  <c r="AD9" i="51" s="1"/>
  <c r="Q8" i="49"/>
  <c r="C19" i="51" s="1"/>
  <c r="O13" i="51" s="1"/>
  <c r="W8" i="51"/>
  <c r="AE8" i="51" s="1"/>
  <c r="F44" i="54"/>
  <c r="C31" i="49"/>
  <c r="Q31" i="49" s="1"/>
  <c r="R25" i="49" s="1"/>
  <c r="F17" i="59"/>
  <c r="G17" i="59" s="1"/>
  <c r="D17" i="62"/>
  <c r="K14" i="49"/>
  <c r="L8" i="49" s="1"/>
  <c r="H13" i="59"/>
  <c r="I13" i="59"/>
  <c r="F6" i="59"/>
  <c r="G6" i="59" s="1"/>
  <c r="D6" i="62"/>
  <c r="D18" i="62"/>
  <c r="F18" i="59"/>
  <c r="G18" i="59" s="1"/>
  <c r="AC13" i="51"/>
  <c r="O46" i="54"/>
  <c r="O26" i="49"/>
  <c r="AC7" i="51"/>
  <c r="W13" i="47"/>
  <c r="W21" i="47" s="1"/>
  <c r="I19" i="60"/>
  <c r="I20" i="60" s="1"/>
  <c r="W22" i="47" s="1"/>
  <c r="W66" i="47" s="1"/>
  <c r="F9" i="59"/>
  <c r="G9" i="59" s="1"/>
  <c r="D9" i="62"/>
  <c r="H46" i="54"/>
  <c r="H49" i="54"/>
  <c r="H48" i="54"/>
  <c r="H47" i="54"/>
  <c r="W12" i="51"/>
  <c r="AE12" i="51" s="1"/>
  <c r="F45" i="54"/>
  <c r="D41" i="54"/>
  <c r="D38" i="54"/>
  <c r="D36" i="54"/>
  <c r="D37" i="54"/>
  <c r="D39" i="54"/>
  <c r="D35" i="54"/>
  <c r="Q7" i="49"/>
  <c r="C18" i="51" s="1"/>
  <c r="H13" i="51" s="1"/>
  <c r="M14" i="49"/>
  <c r="N7" i="49" s="1"/>
  <c r="J10" i="100"/>
  <c r="L30" i="49"/>
  <c r="AA16" i="78"/>
  <c r="G16" i="61"/>
  <c r="AA16" i="72"/>
  <c r="AA16" i="58"/>
  <c r="AA16" i="85"/>
  <c r="W9" i="51"/>
  <c r="AE9" i="51" s="1"/>
  <c r="S7" i="100"/>
  <c r="N27" i="49"/>
  <c r="AA17" i="78"/>
  <c r="AA17" i="58"/>
  <c r="G17" i="61"/>
  <c r="AA17" i="85"/>
  <c r="AA17" i="72"/>
  <c r="R6" i="100"/>
  <c r="AA6" i="78"/>
  <c r="AA6" i="72"/>
  <c r="AA6" i="58"/>
  <c r="G6" i="61"/>
  <c r="AA6" i="85"/>
  <c r="AB8" i="51"/>
  <c r="N46" i="54"/>
  <c r="N48" i="54"/>
  <c r="N49" i="54"/>
  <c r="N47" i="54"/>
  <c r="AA18" i="78"/>
  <c r="AA18" i="72"/>
  <c r="AA18" i="85"/>
  <c r="AA18" i="58"/>
  <c r="G18" i="61"/>
  <c r="AB9" i="51"/>
  <c r="H43" i="54"/>
  <c r="X57" i="47"/>
  <c r="W3" i="47"/>
  <c r="H19" i="60"/>
  <c r="H20" i="60" s="1"/>
  <c r="W12" i="47" s="1"/>
  <c r="AA9" i="78"/>
  <c r="AA9" i="72"/>
  <c r="AA9" i="58"/>
  <c r="G9" i="61"/>
  <c r="AA9" i="85"/>
  <c r="G14" i="49"/>
  <c r="H7" i="49" s="1"/>
  <c r="N26" i="49"/>
  <c r="S8" i="100"/>
  <c r="X33" i="47" l="1"/>
  <c r="X41" i="47" s="1"/>
  <c r="X31" i="47"/>
  <c r="J28" i="49"/>
  <c r="X65" i="47"/>
  <c r="J25" i="49"/>
  <c r="I9" i="7"/>
  <c r="AI9" i="7" s="1"/>
  <c r="W75" i="47"/>
  <c r="J30" i="49"/>
  <c r="J9" i="100"/>
  <c r="J26" i="49"/>
  <c r="V75" i="47"/>
  <c r="J29" i="49"/>
  <c r="J27" i="49"/>
  <c r="AA75" i="47"/>
  <c r="U75" i="47"/>
  <c r="Y75" i="47"/>
  <c r="Z75" i="47"/>
  <c r="X55" i="47"/>
  <c r="J43" i="54"/>
  <c r="AB75" i="47"/>
  <c r="I10" i="7"/>
  <c r="AI10" i="7" s="1"/>
  <c r="D7" i="49"/>
  <c r="L43" i="54"/>
  <c r="H11" i="7"/>
  <c r="AH11" i="7" s="1"/>
  <c r="I8" i="7"/>
  <c r="AI8" i="7" s="1"/>
  <c r="H7" i="7"/>
  <c r="AH7" i="7" s="1"/>
  <c r="N43" i="54"/>
  <c r="L7" i="49"/>
  <c r="H10" i="7"/>
  <c r="AH10" i="7" s="1"/>
  <c r="J52" i="54"/>
  <c r="F31" i="49"/>
  <c r="D29" i="49"/>
  <c r="N52" i="54"/>
  <c r="N8" i="49"/>
  <c r="H31" i="49"/>
  <c r="J7" i="49"/>
  <c r="H52" i="54"/>
  <c r="H8" i="49"/>
  <c r="D43" i="54"/>
  <c r="D12" i="49"/>
  <c r="D11" i="49"/>
  <c r="D52" i="54"/>
  <c r="L31" i="49"/>
  <c r="F7" i="49"/>
  <c r="L52" i="54"/>
  <c r="H11" i="51"/>
  <c r="AH11" i="51" s="1"/>
  <c r="AE120" i="47"/>
  <c r="AE122" i="47" s="1"/>
  <c r="AE118" i="47"/>
  <c r="AF120" i="47"/>
  <c r="AF122" i="47" s="1"/>
  <c r="AF118" i="47"/>
  <c r="AG120" i="47"/>
  <c r="AG122" i="47" s="1"/>
  <c r="AG118" i="47"/>
  <c r="AH120" i="47"/>
  <c r="AH122" i="47" s="1"/>
  <c r="AH118" i="47"/>
  <c r="I8" i="51"/>
  <c r="AI8" i="51" s="1"/>
  <c r="H7" i="51"/>
  <c r="AH7" i="51" s="1"/>
  <c r="I12" i="51"/>
  <c r="AI12" i="51" s="1"/>
  <c r="O8" i="51"/>
  <c r="R29" i="49"/>
  <c r="R27" i="49"/>
  <c r="I13" i="51"/>
  <c r="F34" i="51" s="1"/>
  <c r="I6" i="51"/>
  <c r="AI6" i="51" s="1"/>
  <c r="H8" i="51"/>
  <c r="AH8" i="51" s="1"/>
  <c r="I11" i="51"/>
  <c r="AI11" i="51" s="1"/>
  <c r="I9" i="51"/>
  <c r="AI9" i="51" s="1"/>
  <c r="N11" i="51"/>
  <c r="R26" i="49"/>
  <c r="H6" i="51"/>
  <c r="AH6" i="51" s="1"/>
  <c r="R28" i="49"/>
  <c r="R24" i="49"/>
  <c r="H12" i="51"/>
  <c r="AH12" i="51" s="1"/>
  <c r="AD33" i="47"/>
  <c r="X77" i="47"/>
  <c r="X85" i="47" s="1"/>
  <c r="AH13" i="51"/>
  <c r="AK6" i="7"/>
  <c r="F6" i="62"/>
  <c r="G6" i="62" s="1"/>
  <c r="D6" i="60"/>
  <c r="H13" i="62"/>
  <c r="I13" i="62"/>
  <c r="H6" i="61"/>
  <c r="I6" i="61"/>
  <c r="H6" i="59"/>
  <c r="U6" i="47" s="1"/>
  <c r="U50" i="47" s="1"/>
  <c r="I6" i="59"/>
  <c r="H17" i="59"/>
  <c r="V9" i="47" s="1"/>
  <c r="V53" i="47" s="1"/>
  <c r="I17" i="59"/>
  <c r="O11" i="51"/>
  <c r="O6" i="51"/>
  <c r="O7" i="51"/>
  <c r="N6" i="51"/>
  <c r="N9" i="51"/>
  <c r="H15" i="59"/>
  <c r="V7" i="47" s="1"/>
  <c r="V51" i="47" s="1"/>
  <c r="I15" i="59"/>
  <c r="C17" i="7"/>
  <c r="H6" i="7"/>
  <c r="F9" i="49"/>
  <c r="F10" i="49"/>
  <c r="F13" i="49"/>
  <c r="F11" i="49"/>
  <c r="F12" i="49"/>
  <c r="N12" i="51"/>
  <c r="N7" i="51"/>
  <c r="H9" i="61"/>
  <c r="Y9" i="47" s="1"/>
  <c r="Y53" i="47" s="1"/>
  <c r="I9" i="61"/>
  <c r="H18" i="61"/>
  <c r="Z10" i="47" s="1"/>
  <c r="Z54" i="47" s="1"/>
  <c r="I18" i="61"/>
  <c r="AC13" i="47"/>
  <c r="W33" i="47"/>
  <c r="W41" i="47" s="1"/>
  <c r="W57" i="47"/>
  <c r="W65" i="47" s="1"/>
  <c r="F12" i="100"/>
  <c r="J6" i="100"/>
  <c r="D31" i="49"/>
  <c r="D30" i="49"/>
  <c r="D26" i="49"/>
  <c r="D27" i="49"/>
  <c r="D25" i="49"/>
  <c r="D28" i="49"/>
  <c r="D24" i="49"/>
  <c r="I13" i="7"/>
  <c r="N31" i="49"/>
  <c r="F15" i="62"/>
  <c r="G15" i="62" s="1"/>
  <c r="D15" i="60"/>
  <c r="C34" i="49"/>
  <c r="E34" i="49"/>
  <c r="E56" i="54" s="1"/>
  <c r="N8" i="51"/>
  <c r="O10" i="51"/>
  <c r="AD47" i="47"/>
  <c r="O8" i="49"/>
  <c r="O36" i="54"/>
  <c r="F17" i="62"/>
  <c r="G17" i="62" s="1"/>
  <c r="D17" i="60"/>
  <c r="V15" i="47"/>
  <c r="K13" i="59"/>
  <c r="AH13" i="7"/>
  <c r="AD23" i="47"/>
  <c r="X67" i="47"/>
  <c r="X75" i="47" s="1"/>
  <c r="G12" i="100"/>
  <c r="N10" i="51"/>
  <c r="H12" i="7"/>
  <c r="H10" i="61"/>
  <c r="Y10" i="47" s="1"/>
  <c r="Y54" i="47" s="1"/>
  <c r="I10" i="61"/>
  <c r="O12" i="51"/>
  <c r="J13" i="49"/>
  <c r="J10" i="49"/>
  <c r="J12" i="49"/>
  <c r="J9" i="49"/>
  <c r="J11" i="49"/>
  <c r="H16" i="59"/>
  <c r="V8" i="47" s="1"/>
  <c r="V52" i="47" s="1"/>
  <c r="I16" i="59"/>
  <c r="H10" i="59"/>
  <c r="U10" i="47" s="1"/>
  <c r="U54" i="47" s="1"/>
  <c r="I10" i="59"/>
  <c r="F14" i="62"/>
  <c r="G14" i="62" s="1"/>
  <c r="D14" i="60"/>
  <c r="O9" i="49"/>
  <c r="O10" i="49"/>
  <c r="AK13" i="51"/>
  <c r="O35" i="54"/>
  <c r="O7" i="49"/>
  <c r="V5" i="47"/>
  <c r="H8" i="59"/>
  <c r="U8" i="47" s="1"/>
  <c r="U52" i="47" s="1"/>
  <c r="I8" i="59"/>
  <c r="H7" i="61"/>
  <c r="Y7" i="47" s="1"/>
  <c r="Y51" i="47" s="1"/>
  <c r="I7" i="61"/>
  <c r="D53" i="83"/>
  <c r="D54" i="83"/>
  <c r="Q14" i="49"/>
  <c r="N13" i="49"/>
  <c r="N11" i="49"/>
  <c r="N9" i="49"/>
  <c r="N12" i="49"/>
  <c r="N10" i="49"/>
  <c r="I12" i="7"/>
  <c r="H8" i="61"/>
  <c r="Y8" i="47" s="1"/>
  <c r="Y52" i="47" s="1"/>
  <c r="I8" i="61"/>
  <c r="H13" i="49"/>
  <c r="H12" i="49"/>
  <c r="H9" i="49"/>
  <c r="H11" i="49"/>
  <c r="H10" i="49"/>
  <c r="J104" i="47"/>
  <c r="W56" i="47"/>
  <c r="H17" i="61"/>
  <c r="Z9" i="47" s="1"/>
  <c r="Z53" i="47" s="1"/>
  <c r="I17" i="61"/>
  <c r="C17" i="51"/>
  <c r="H10" i="51"/>
  <c r="I7" i="51"/>
  <c r="H9" i="51"/>
  <c r="F9" i="62"/>
  <c r="G9" i="62" s="1"/>
  <c r="D9" i="60"/>
  <c r="I18" i="59"/>
  <c r="H18" i="59"/>
  <c r="V10" i="47" s="1"/>
  <c r="V54" i="47" s="1"/>
  <c r="L13" i="49"/>
  <c r="L12" i="49"/>
  <c r="L11" i="49"/>
  <c r="L10" i="49"/>
  <c r="L9" i="49"/>
  <c r="I11" i="7"/>
  <c r="H8" i="7"/>
  <c r="U15" i="47"/>
  <c r="K5" i="59"/>
  <c r="I15" i="61"/>
  <c r="H15" i="61"/>
  <c r="Z7" i="47" s="1"/>
  <c r="Z51" i="47" s="1"/>
  <c r="D13" i="49"/>
  <c r="D9" i="49"/>
  <c r="D10" i="49"/>
  <c r="O9" i="51"/>
  <c r="H14" i="61"/>
  <c r="I14" i="61"/>
  <c r="F7" i="62"/>
  <c r="G7" i="62" s="1"/>
  <c r="D7" i="60"/>
  <c r="I10" i="51"/>
  <c r="I34" i="49"/>
  <c r="I56" i="54" s="1"/>
  <c r="F16" i="62"/>
  <c r="G16" i="62" s="1"/>
  <c r="D16" i="60"/>
  <c r="I6" i="7"/>
  <c r="Q6" i="7" s="1"/>
  <c r="F52" i="54"/>
  <c r="L104" i="47"/>
  <c r="W86" i="47"/>
  <c r="F8" i="62"/>
  <c r="G8" i="62" s="1"/>
  <c r="D8" i="60"/>
  <c r="O9" i="7"/>
  <c r="O11" i="7"/>
  <c r="O12" i="7"/>
  <c r="O8" i="7"/>
  <c r="O7" i="7"/>
  <c r="O10" i="7"/>
  <c r="N11" i="7"/>
  <c r="N8" i="7"/>
  <c r="N10" i="7"/>
  <c r="N6" i="7"/>
  <c r="N9" i="7"/>
  <c r="N7" i="7"/>
  <c r="N12" i="7"/>
  <c r="O13" i="7"/>
  <c r="G34" i="49"/>
  <c r="G56" i="54" s="1"/>
  <c r="AC3" i="47"/>
  <c r="W47" i="47"/>
  <c r="W55" i="47" s="1"/>
  <c r="H16" i="61"/>
  <c r="Z8" i="47" s="1"/>
  <c r="Z52" i="47" s="1"/>
  <c r="I16" i="61"/>
  <c r="M34" i="49"/>
  <c r="H9" i="59"/>
  <c r="U9" i="47" s="1"/>
  <c r="U53" i="47" s="1"/>
  <c r="I9" i="59"/>
  <c r="F18" i="62"/>
  <c r="G18" i="62" s="1"/>
  <c r="D18" i="60"/>
  <c r="H9" i="7"/>
  <c r="I7" i="7"/>
  <c r="U5" i="47"/>
  <c r="F10" i="62"/>
  <c r="G10" i="62" s="1"/>
  <c r="D10" i="60"/>
  <c r="N13" i="51"/>
  <c r="F26" i="51" s="1"/>
  <c r="H7" i="59"/>
  <c r="U7" i="47" s="1"/>
  <c r="U51" i="47" s="1"/>
  <c r="I7" i="59"/>
  <c r="N13" i="7"/>
  <c r="F26" i="7" s="1"/>
  <c r="H14" i="59"/>
  <c r="V6" i="47" s="1"/>
  <c r="V50" i="47" s="1"/>
  <c r="I14" i="59"/>
  <c r="R31" i="49"/>
  <c r="R30" i="49"/>
  <c r="AD57" i="47"/>
  <c r="U11" i="47" l="1"/>
  <c r="V11" i="47"/>
  <c r="R8" i="49"/>
  <c r="F31" i="7"/>
  <c r="R7" i="49"/>
  <c r="J31" i="49"/>
  <c r="K104" i="47"/>
  <c r="F23" i="7"/>
  <c r="J14" i="49"/>
  <c r="R12" i="49"/>
  <c r="F14" i="49"/>
  <c r="D14" i="49"/>
  <c r="R10" i="49"/>
  <c r="H14" i="49"/>
  <c r="R9" i="49"/>
  <c r="R12" i="100"/>
  <c r="R13" i="49"/>
  <c r="O14" i="7"/>
  <c r="L14" i="49"/>
  <c r="R11" i="49"/>
  <c r="P11" i="51"/>
  <c r="F20" i="51"/>
  <c r="K108" i="47"/>
  <c r="M108" i="47"/>
  <c r="O108" i="47" s="1"/>
  <c r="F29" i="51"/>
  <c r="F25" i="51"/>
  <c r="AK8" i="51"/>
  <c r="F24" i="51"/>
  <c r="Q8" i="51"/>
  <c r="F21" i="51"/>
  <c r="AJ11" i="51"/>
  <c r="F19" i="51"/>
  <c r="AI13" i="51"/>
  <c r="Q13" i="51"/>
  <c r="U17" i="47"/>
  <c r="K7" i="59"/>
  <c r="AI7" i="7"/>
  <c r="F28" i="7"/>
  <c r="P11" i="7"/>
  <c r="AJ11" i="7"/>
  <c r="F31" i="51"/>
  <c r="AI10" i="51"/>
  <c r="H9" i="62"/>
  <c r="AA9" i="47" s="1"/>
  <c r="AA53" i="47" s="1"/>
  <c r="I9" i="62"/>
  <c r="U18" i="47"/>
  <c r="K8" i="59"/>
  <c r="Q12" i="51"/>
  <c r="AK12" i="51"/>
  <c r="C20" i="7"/>
  <c r="C23" i="7" s="1"/>
  <c r="C56" i="54"/>
  <c r="Z20" i="47"/>
  <c r="K18" i="61"/>
  <c r="U16" i="47"/>
  <c r="K6" i="59"/>
  <c r="AB15" i="47"/>
  <c r="K13" i="62"/>
  <c r="F22" i="7"/>
  <c r="AH9" i="7"/>
  <c r="Q13" i="7"/>
  <c r="AK13" i="7"/>
  <c r="Q10" i="7"/>
  <c r="AK10" i="7"/>
  <c r="F22" i="51"/>
  <c r="AH9" i="51"/>
  <c r="V18" i="47"/>
  <c r="K16" i="59"/>
  <c r="Y20" i="47"/>
  <c r="K10" i="61"/>
  <c r="M19" i="59"/>
  <c r="O25" i="49"/>
  <c r="P9" i="51"/>
  <c r="AJ9" i="51"/>
  <c r="AB5" i="47"/>
  <c r="P13" i="51"/>
  <c r="AJ13" i="51"/>
  <c r="F33" i="51"/>
  <c r="P12" i="7"/>
  <c r="AJ12" i="7"/>
  <c r="Q7" i="7"/>
  <c r="AK7" i="7"/>
  <c r="H7" i="62"/>
  <c r="AA7" i="47" s="1"/>
  <c r="AA51" i="47" s="1"/>
  <c r="I7" i="62"/>
  <c r="Z17" i="47"/>
  <c r="K15" i="61"/>
  <c r="AI7" i="51"/>
  <c r="F28" i="51"/>
  <c r="F33" i="7"/>
  <c r="AI12" i="7"/>
  <c r="O34" i="49"/>
  <c r="O56" i="54" s="1"/>
  <c r="AD67" i="47"/>
  <c r="H15" i="62"/>
  <c r="AB7" i="47" s="1"/>
  <c r="AB51" i="47" s="1"/>
  <c r="I15" i="62"/>
  <c r="Y19" i="47"/>
  <c r="K9" i="61"/>
  <c r="N14" i="51"/>
  <c r="P6" i="51"/>
  <c r="AJ6" i="51"/>
  <c r="Q8" i="7"/>
  <c r="AK8" i="7"/>
  <c r="F23" i="51"/>
  <c r="AH10" i="51"/>
  <c r="AK7" i="51"/>
  <c r="Q7" i="51"/>
  <c r="P9" i="7"/>
  <c r="AJ9" i="7"/>
  <c r="Z6" i="47"/>
  <c r="Z11" i="47" s="1"/>
  <c r="L19" i="61"/>
  <c r="D3" i="1"/>
  <c r="F18" i="51"/>
  <c r="P10" i="51"/>
  <c r="AJ10" i="51"/>
  <c r="N14" i="7"/>
  <c r="AJ6" i="7"/>
  <c r="P6" i="7"/>
  <c r="Q9" i="51"/>
  <c r="AK9" i="51"/>
  <c r="U35" i="47"/>
  <c r="U59" i="47"/>
  <c r="Z19" i="47"/>
  <c r="K17" i="61"/>
  <c r="F29" i="7"/>
  <c r="N14" i="49"/>
  <c r="Q10" i="51"/>
  <c r="AK10" i="51"/>
  <c r="AC57" i="47"/>
  <c r="P12" i="51"/>
  <c r="AJ12" i="51"/>
  <c r="V17" i="47"/>
  <c r="K15" i="59"/>
  <c r="Q11" i="51"/>
  <c r="AK11" i="51"/>
  <c r="Y6" i="47"/>
  <c r="Y11" i="47" s="1"/>
  <c r="L11" i="61"/>
  <c r="H6" i="62"/>
  <c r="I6" i="62"/>
  <c r="H18" i="62"/>
  <c r="AB10" i="47" s="1"/>
  <c r="AB54" i="47" s="1"/>
  <c r="I18" i="62"/>
  <c r="P7" i="7"/>
  <c r="AJ7" i="7"/>
  <c r="M11" i="59"/>
  <c r="O11" i="59" s="1"/>
  <c r="U20" i="47"/>
  <c r="K10" i="59"/>
  <c r="F25" i="7"/>
  <c r="AH12" i="7"/>
  <c r="V35" i="47"/>
  <c r="V59" i="47"/>
  <c r="U19" i="47"/>
  <c r="K9" i="59"/>
  <c r="F27" i="7"/>
  <c r="AI6" i="7"/>
  <c r="D71" i="83"/>
  <c r="D70" i="83"/>
  <c r="F24" i="7"/>
  <c r="W43" i="47"/>
  <c r="AC33" i="47"/>
  <c r="W77" i="47"/>
  <c r="W85" i="47" s="1"/>
  <c r="M104" i="47" s="1"/>
  <c r="P7" i="51"/>
  <c r="AJ7" i="51"/>
  <c r="F18" i="7"/>
  <c r="O14" i="51"/>
  <c r="Q6" i="51"/>
  <c r="AK6" i="51"/>
  <c r="V16" i="47"/>
  <c r="K14" i="59"/>
  <c r="H10" i="62"/>
  <c r="AA10" i="47" s="1"/>
  <c r="AA54" i="47" s="1"/>
  <c r="I10" i="62"/>
  <c r="Q11" i="7"/>
  <c r="AK11" i="7"/>
  <c r="L11" i="59"/>
  <c r="Q34" i="49"/>
  <c r="C25" i="51" s="1"/>
  <c r="C20" i="51" s="1"/>
  <c r="C23" i="51" s="1"/>
  <c r="M56" i="54"/>
  <c r="AC47" i="47"/>
  <c r="P10" i="7"/>
  <c r="AJ10" i="7"/>
  <c r="Q9" i="7"/>
  <c r="AK9" i="7"/>
  <c r="H16" i="62"/>
  <c r="AB8" i="47" s="1"/>
  <c r="AB52" i="47" s="1"/>
  <c r="I16" i="62"/>
  <c r="F21" i="7"/>
  <c r="AH8" i="7"/>
  <c r="V20" i="47"/>
  <c r="K18" i="59"/>
  <c r="Y17" i="47"/>
  <c r="K7" i="61"/>
  <c r="L19" i="59"/>
  <c r="F30" i="7"/>
  <c r="O19" i="49"/>
  <c r="P8" i="51"/>
  <c r="AJ8" i="51"/>
  <c r="V19" i="47"/>
  <c r="K17" i="59"/>
  <c r="AD77" i="47"/>
  <c r="H8" i="62"/>
  <c r="AA8" i="47" s="1"/>
  <c r="AA52" i="47" s="1"/>
  <c r="I8" i="62"/>
  <c r="Y18" i="47"/>
  <c r="K8" i="61"/>
  <c r="Z16" i="47"/>
  <c r="K14" i="61"/>
  <c r="M19" i="61"/>
  <c r="O24" i="49"/>
  <c r="O40" i="54"/>
  <c r="O39" i="54"/>
  <c r="F19" i="7"/>
  <c r="AH6" i="7"/>
  <c r="F20" i="7"/>
  <c r="Q12" i="7"/>
  <c r="AK12" i="7"/>
  <c r="F34" i="7"/>
  <c r="AI13" i="7"/>
  <c r="Y16" i="47"/>
  <c r="K6" i="61"/>
  <c r="M11" i="61"/>
  <c r="P13" i="7"/>
  <c r="AJ13" i="7"/>
  <c r="U49" i="47"/>
  <c r="U55" i="47" s="1"/>
  <c r="Z18" i="47"/>
  <c r="K16" i="61"/>
  <c r="P8" i="7"/>
  <c r="AJ8" i="7"/>
  <c r="F32" i="7"/>
  <c r="AI11" i="7"/>
  <c r="V49" i="47"/>
  <c r="V55" i="47" s="1"/>
  <c r="H14" i="62"/>
  <c r="AB6" i="47" s="1"/>
  <c r="AB50" i="47" s="1"/>
  <c r="I14" i="62"/>
  <c r="F27" i="51"/>
  <c r="H17" i="62"/>
  <c r="AB9" i="47" s="1"/>
  <c r="AB53" i="47" s="1"/>
  <c r="I17" i="62"/>
  <c r="O18" i="49"/>
  <c r="F30" i="51"/>
  <c r="F32" i="51"/>
  <c r="V21" i="47" l="1"/>
  <c r="U21" i="47"/>
  <c r="Y21" i="47"/>
  <c r="Z21" i="47"/>
  <c r="AB11" i="47"/>
  <c r="G23" i="7"/>
  <c r="I23" i="7" s="1"/>
  <c r="O43" i="54"/>
  <c r="P41" i="54" s="1"/>
  <c r="C16" i="7"/>
  <c r="G26" i="7"/>
  <c r="I26" i="7" s="1"/>
  <c r="R14" i="49"/>
  <c r="G34" i="51"/>
  <c r="I34" i="51" s="1"/>
  <c r="C16" i="51"/>
  <c r="G25" i="51"/>
  <c r="I25" i="51" s="1"/>
  <c r="K101" i="47"/>
  <c r="M19" i="62"/>
  <c r="O19" i="62" s="1"/>
  <c r="G26" i="51"/>
  <c r="I26" i="51" s="1"/>
  <c r="G24" i="51"/>
  <c r="I24" i="51" s="1"/>
  <c r="G29" i="51"/>
  <c r="G21" i="51"/>
  <c r="I21" i="51" s="1"/>
  <c r="G20" i="51"/>
  <c r="I20" i="51" s="1"/>
  <c r="C3" i="1"/>
  <c r="B3" i="1" s="1"/>
  <c r="D88" i="83"/>
  <c r="D87" i="83"/>
  <c r="Y50" i="47"/>
  <c r="Y55" i="47" s="1"/>
  <c r="G18" i="51"/>
  <c r="I18" i="51" s="1"/>
  <c r="Y39" i="47"/>
  <c r="Y83" i="47" s="1"/>
  <c r="Y63" i="47"/>
  <c r="O72" i="54"/>
  <c r="O77" i="54"/>
  <c r="L19" i="62"/>
  <c r="Y40" i="47"/>
  <c r="Y84" i="47" s="1"/>
  <c r="Y64" i="47"/>
  <c r="G30" i="51"/>
  <c r="I30" i="51" s="1"/>
  <c r="O49" i="54"/>
  <c r="O29" i="49"/>
  <c r="G30" i="7"/>
  <c r="I30" i="7" s="1"/>
  <c r="AB18" i="47"/>
  <c r="K16" i="62"/>
  <c r="V36" i="47"/>
  <c r="V80" i="47" s="1"/>
  <c r="V60" i="47"/>
  <c r="V79" i="47"/>
  <c r="AB17" i="47"/>
  <c r="K15" i="62"/>
  <c r="AB49" i="47"/>
  <c r="AB55" i="47" s="1"/>
  <c r="U36" i="47"/>
  <c r="U80" i="47" s="1"/>
  <c r="U60" i="47"/>
  <c r="G31" i="51"/>
  <c r="I31" i="51" s="1"/>
  <c r="B12" i="100"/>
  <c r="L20" i="59"/>
  <c r="L21" i="59" s="1"/>
  <c r="U12" i="47" s="1"/>
  <c r="G27" i="7"/>
  <c r="I27" i="7" s="1"/>
  <c r="G19" i="51"/>
  <c r="G29" i="7"/>
  <c r="I29" i="7" s="1"/>
  <c r="G33" i="7"/>
  <c r="I33" i="7" s="1"/>
  <c r="V38" i="47"/>
  <c r="V82" i="47" s="1"/>
  <c r="V62" i="47"/>
  <c r="G31" i="7"/>
  <c r="G21" i="7"/>
  <c r="I21" i="7" s="1"/>
  <c r="AB19" i="47"/>
  <c r="K17" i="62"/>
  <c r="AB20" i="47"/>
  <c r="K18" i="62"/>
  <c r="G28" i="51"/>
  <c r="I28" i="51" s="1"/>
  <c r="M20" i="61"/>
  <c r="M21" i="61" s="1"/>
  <c r="Y22" i="47" s="1"/>
  <c r="Y66" i="47" s="1"/>
  <c r="O11" i="61"/>
  <c r="AC77" i="47"/>
  <c r="Z50" i="47"/>
  <c r="Z55" i="47" s="1"/>
  <c r="G33" i="51"/>
  <c r="I33" i="51" s="1"/>
  <c r="C12" i="100"/>
  <c r="G22" i="51"/>
  <c r="I22" i="51" s="1"/>
  <c r="Z40" i="47"/>
  <c r="Z84" i="47" s="1"/>
  <c r="Z64" i="47"/>
  <c r="U38" i="47"/>
  <c r="U82" i="47" s="1"/>
  <c r="U62" i="47"/>
  <c r="G34" i="7"/>
  <c r="I34" i="7" s="1"/>
  <c r="G32" i="7"/>
  <c r="I32" i="7" s="1"/>
  <c r="G20" i="7"/>
  <c r="I20" i="7" s="1"/>
  <c r="G25" i="7"/>
  <c r="I25" i="7" s="1"/>
  <c r="G22" i="7"/>
  <c r="I22" i="7" s="1"/>
  <c r="O19" i="61"/>
  <c r="Y37" i="47"/>
  <c r="Y81" i="47" s="1"/>
  <c r="Y61" i="47"/>
  <c r="V37" i="47"/>
  <c r="V81" i="47" s="1"/>
  <c r="V61" i="47"/>
  <c r="Z39" i="47"/>
  <c r="Z83" i="47" s="1"/>
  <c r="Z63" i="47"/>
  <c r="G28" i="7"/>
  <c r="I28" i="7" s="1"/>
  <c r="G27" i="51"/>
  <c r="I27" i="51" s="1"/>
  <c r="G19" i="7"/>
  <c r="I19" i="7" s="1"/>
  <c r="Z36" i="47"/>
  <c r="Z60" i="47"/>
  <c r="V39" i="47"/>
  <c r="V83" i="47" s="1"/>
  <c r="V63" i="47"/>
  <c r="U40" i="47"/>
  <c r="U84" i="47" s="1"/>
  <c r="U64" i="47"/>
  <c r="AA16" i="47"/>
  <c r="K6" i="62"/>
  <c r="M11" i="62"/>
  <c r="O11" i="62" s="1"/>
  <c r="G32" i="51"/>
  <c r="I32" i="51" s="1"/>
  <c r="AB16" i="47"/>
  <c r="K14" i="62"/>
  <c r="Y36" i="47"/>
  <c r="Y60" i="47"/>
  <c r="V40" i="47"/>
  <c r="V84" i="47" s="1"/>
  <c r="V64" i="47"/>
  <c r="AA20" i="47"/>
  <c r="K10" i="62"/>
  <c r="G24" i="7"/>
  <c r="I24" i="7" s="1"/>
  <c r="U39" i="47"/>
  <c r="U83" i="47" s="1"/>
  <c r="U63" i="47"/>
  <c r="AA6" i="47"/>
  <c r="AA11" i="47" s="1"/>
  <c r="L11" i="62"/>
  <c r="Z37" i="47"/>
  <c r="Z81" i="47" s="1"/>
  <c r="Z61" i="47"/>
  <c r="M20" i="59"/>
  <c r="M21" i="59" s="1"/>
  <c r="U22" i="47" s="1"/>
  <c r="U66" i="47" s="1"/>
  <c r="O19" i="59"/>
  <c r="O20" i="59" s="1"/>
  <c r="O21" i="59" s="1"/>
  <c r="U42" i="47" s="1"/>
  <c r="C72" i="54"/>
  <c r="C77" i="54"/>
  <c r="AA19" i="47"/>
  <c r="K9" i="62"/>
  <c r="AA18" i="47"/>
  <c r="K8" i="62"/>
  <c r="Z38" i="47"/>
  <c r="Z82" i="47" s="1"/>
  <c r="Z62" i="47"/>
  <c r="O48" i="54"/>
  <c r="O28" i="49"/>
  <c r="I4" i="74"/>
  <c r="I3" i="74" s="1"/>
  <c r="Y38" i="47"/>
  <c r="Y82" i="47" s="1"/>
  <c r="Y62" i="47"/>
  <c r="G18" i="7"/>
  <c r="I18" i="7" s="1"/>
  <c r="L20" i="61"/>
  <c r="L21" i="61" s="1"/>
  <c r="Y12" i="47" s="1"/>
  <c r="U79" i="47"/>
  <c r="G23" i="51"/>
  <c r="I23" i="51" s="1"/>
  <c r="AA17" i="47"/>
  <c r="K7" i="62"/>
  <c r="AB35" i="47"/>
  <c r="AB59" i="47"/>
  <c r="U37" i="47"/>
  <c r="U81" i="47" s="1"/>
  <c r="U61" i="47"/>
  <c r="AB21" i="47" l="1"/>
  <c r="Y41" i="47"/>
  <c r="Z41" i="47"/>
  <c r="U41" i="47"/>
  <c r="AA21" i="47"/>
  <c r="V41" i="47"/>
  <c r="H25" i="51"/>
  <c r="J25" i="51" s="1"/>
  <c r="O25" i="51" s="1"/>
  <c r="T25" i="51" s="1"/>
  <c r="H23" i="7"/>
  <c r="M23" i="7" s="1"/>
  <c r="R23" i="7" s="1"/>
  <c r="P39" i="54"/>
  <c r="P35" i="54"/>
  <c r="P36" i="54"/>
  <c r="P37" i="54"/>
  <c r="P40" i="54"/>
  <c r="P38" i="54"/>
  <c r="H27" i="7"/>
  <c r="M27" i="7" s="1"/>
  <c r="R27" i="7" s="1"/>
  <c r="H26" i="7"/>
  <c r="N26" i="7" s="1"/>
  <c r="S26" i="7" s="1"/>
  <c r="H33" i="51"/>
  <c r="K33" i="51" s="1"/>
  <c r="P33" i="51" s="1"/>
  <c r="H30" i="7"/>
  <c r="N30" i="7" s="1"/>
  <c r="S30" i="7" s="1"/>
  <c r="H19" i="7"/>
  <c r="N19" i="7" s="1"/>
  <c r="S19" i="7" s="1"/>
  <c r="H32" i="7"/>
  <c r="K32" i="7" s="1"/>
  <c r="P32" i="7" s="1"/>
  <c r="H34" i="7"/>
  <c r="L34" i="7" s="1"/>
  <c r="Q34" i="7" s="1"/>
  <c r="H25" i="7"/>
  <c r="N25" i="7" s="1"/>
  <c r="S25" i="7" s="1"/>
  <c r="H18" i="7"/>
  <c r="N18" i="7" s="1"/>
  <c r="S18" i="7" s="1"/>
  <c r="H21" i="51"/>
  <c r="L21" i="51" s="1"/>
  <c r="Q21" i="51" s="1"/>
  <c r="H34" i="51"/>
  <c r="L34" i="51" s="1"/>
  <c r="Q34" i="51" s="1"/>
  <c r="H32" i="51"/>
  <c r="M32" i="51" s="1"/>
  <c r="R32" i="51" s="1"/>
  <c r="H20" i="51"/>
  <c r="M20" i="51" s="1"/>
  <c r="R20" i="51" s="1"/>
  <c r="H23" i="51"/>
  <c r="M23" i="51" s="1"/>
  <c r="R23" i="51" s="1"/>
  <c r="O20" i="61"/>
  <c r="O21" i="61" s="1"/>
  <c r="Y42" i="47" s="1"/>
  <c r="Y86" i="47" s="1"/>
  <c r="A3" i="1"/>
  <c r="B2510" i="1" s="1"/>
  <c r="C2510" i="1" s="1"/>
  <c r="H24" i="51"/>
  <c r="N24" i="51" s="1"/>
  <c r="S24" i="51" s="1"/>
  <c r="U85" i="47"/>
  <c r="U65" i="47"/>
  <c r="V65" i="47"/>
  <c r="I29" i="51"/>
  <c r="H29" i="51"/>
  <c r="H26" i="51"/>
  <c r="J26" i="51" s="1"/>
  <c r="O26" i="51" s="1"/>
  <c r="Y65" i="47"/>
  <c r="O73" i="54"/>
  <c r="O71" i="54"/>
  <c r="P71" i="54"/>
  <c r="AA36" i="47"/>
  <c r="AA60" i="47"/>
  <c r="J101" i="47"/>
  <c r="U56" i="47"/>
  <c r="AB79" i="47"/>
  <c r="AA38" i="47"/>
  <c r="AA82" i="47" s="1"/>
  <c r="AA62" i="47"/>
  <c r="H24" i="7"/>
  <c r="Y80" i="47"/>
  <c r="Y85" i="47" s="1"/>
  <c r="H20" i="7"/>
  <c r="H28" i="51"/>
  <c r="H30" i="51"/>
  <c r="K103" i="47"/>
  <c r="Z80" i="47"/>
  <c r="Z85" i="47" s="1"/>
  <c r="O12" i="49"/>
  <c r="O21" i="49" s="1"/>
  <c r="AA37" i="47"/>
  <c r="AA81" i="47" s="1"/>
  <c r="AA61" i="47"/>
  <c r="AA39" i="47"/>
  <c r="AA83" i="47" s="1"/>
  <c r="AA63" i="47"/>
  <c r="AB40" i="47"/>
  <c r="AB84" i="47" s="1"/>
  <c r="AB64" i="47"/>
  <c r="Y56" i="47"/>
  <c r="J103" i="47"/>
  <c r="D12" i="100"/>
  <c r="O11" i="49"/>
  <c r="O20" i="49" s="1"/>
  <c r="O52" i="54"/>
  <c r="AA40" i="47"/>
  <c r="AA84" i="47" s="1"/>
  <c r="AA64" i="47"/>
  <c r="AB36" i="47"/>
  <c r="AB80" i="47" s="1"/>
  <c r="AB60" i="47"/>
  <c r="H27" i="51"/>
  <c r="I31" i="7"/>
  <c r="H31" i="7"/>
  <c r="H29" i="7"/>
  <c r="Q12" i="100"/>
  <c r="AB38" i="47"/>
  <c r="AB82" i="47" s="1"/>
  <c r="AB62" i="47"/>
  <c r="H18" i="51"/>
  <c r="C78" i="54"/>
  <c r="C76" i="54"/>
  <c r="AA50" i="47"/>
  <c r="AA55" i="47" s="1"/>
  <c r="K102" i="47" s="1"/>
  <c r="H22" i="51"/>
  <c r="I19" i="51"/>
  <c r="H19" i="51"/>
  <c r="O31" i="49"/>
  <c r="D104" i="83"/>
  <c r="D105" i="83"/>
  <c r="C73" i="54"/>
  <c r="C71" i="54"/>
  <c r="Z65" i="47"/>
  <c r="H28" i="7"/>
  <c r="H22" i="7"/>
  <c r="AB39" i="47"/>
  <c r="AB83" i="47" s="1"/>
  <c r="AB63" i="47"/>
  <c r="H31" i="51"/>
  <c r="AB37" i="47"/>
  <c r="AB81" i="47" s="1"/>
  <c r="AB61" i="47"/>
  <c r="L20" i="62"/>
  <c r="L21" i="62" s="1"/>
  <c r="AA12" i="47" s="1"/>
  <c r="M20" i="62"/>
  <c r="M21" i="62" s="1"/>
  <c r="AA22" i="47" s="1"/>
  <c r="AA66" i="47" s="1"/>
  <c r="U86" i="47"/>
  <c r="L101" i="47"/>
  <c r="H21" i="7"/>
  <c r="H33" i="7"/>
  <c r="V85" i="47"/>
  <c r="E12" i="100"/>
  <c r="O78" i="54"/>
  <c r="O76" i="54"/>
  <c r="O20" i="62"/>
  <c r="O21" i="62" s="1"/>
  <c r="AA42" i="47" s="1"/>
  <c r="AB41" i="47" l="1"/>
  <c r="AA41" i="47"/>
  <c r="N27" i="7"/>
  <c r="S27" i="7" s="1"/>
  <c r="X27" i="7" s="1"/>
  <c r="AH27" i="7" s="1"/>
  <c r="M25" i="51"/>
  <c r="R25" i="51" s="1"/>
  <c r="W25" i="51" s="1"/>
  <c r="AG25" i="51" s="1"/>
  <c r="L25" i="51"/>
  <c r="Q25" i="51" s="1"/>
  <c r="V25" i="51" s="1"/>
  <c r="AF25" i="51" s="1"/>
  <c r="K25" i="51"/>
  <c r="P25" i="51" s="1"/>
  <c r="U25" i="51" s="1"/>
  <c r="AE25" i="51" s="1"/>
  <c r="N25" i="51"/>
  <c r="S25" i="51" s="1"/>
  <c r="X25" i="51" s="1"/>
  <c r="AH25" i="51" s="1"/>
  <c r="K23" i="7"/>
  <c r="P23" i="7" s="1"/>
  <c r="U23" i="7" s="1"/>
  <c r="AE23" i="7" s="1"/>
  <c r="L23" i="7"/>
  <c r="Q23" i="7" s="1"/>
  <c r="V23" i="7" s="1"/>
  <c r="AF23" i="7" s="1"/>
  <c r="J23" i="7"/>
  <c r="O23" i="7" s="1"/>
  <c r="M26" i="7"/>
  <c r="R26" i="7" s="1"/>
  <c r="W26" i="7" s="1"/>
  <c r="AG26" i="7" s="1"/>
  <c r="L30" i="7"/>
  <c r="Q30" i="7" s="1"/>
  <c r="V30" i="7" s="1"/>
  <c r="AF30" i="7" s="1"/>
  <c r="N23" i="7"/>
  <c r="S23" i="7" s="1"/>
  <c r="X23" i="7" s="1"/>
  <c r="AH23" i="7" s="1"/>
  <c r="M30" i="7"/>
  <c r="R30" i="7" s="1"/>
  <c r="W30" i="7" s="1"/>
  <c r="AG30" i="7" s="1"/>
  <c r="P43" i="54"/>
  <c r="J34" i="7"/>
  <c r="O34" i="7" s="1"/>
  <c r="T34" i="7" s="1"/>
  <c r="AD34" i="7" s="1"/>
  <c r="L27" i="7"/>
  <c r="Q27" i="7" s="1"/>
  <c r="V27" i="7" s="1"/>
  <c r="AF27" i="7" s="1"/>
  <c r="M34" i="7"/>
  <c r="R34" i="7" s="1"/>
  <c r="W34" i="7" s="1"/>
  <c r="AG34" i="7" s="1"/>
  <c r="K34" i="7"/>
  <c r="P34" i="7" s="1"/>
  <c r="U34" i="7" s="1"/>
  <c r="AE34" i="7" s="1"/>
  <c r="K27" i="7"/>
  <c r="P27" i="7" s="1"/>
  <c r="N34" i="7"/>
  <c r="S34" i="7" s="1"/>
  <c r="X34" i="7" s="1"/>
  <c r="AH34" i="7" s="1"/>
  <c r="J30" i="7"/>
  <c r="O30" i="7" s="1"/>
  <c r="T30" i="7" s="1"/>
  <c r="AD30" i="7" s="1"/>
  <c r="B39" i="1"/>
  <c r="C39" i="1" s="1"/>
  <c r="K30" i="7"/>
  <c r="P30" i="7" s="1"/>
  <c r="U30" i="7" s="1"/>
  <c r="AE30" i="7" s="1"/>
  <c r="J27" i="7"/>
  <c r="O27" i="7" s="1"/>
  <c r="T27" i="7" s="1"/>
  <c r="AD27" i="7" s="1"/>
  <c r="M25" i="7"/>
  <c r="R25" i="7" s="1"/>
  <c r="W25" i="7" s="1"/>
  <c r="AG25" i="7" s="1"/>
  <c r="L26" i="7"/>
  <c r="Q26" i="7" s="1"/>
  <c r="V26" i="7" s="1"/>
  <c r="AF26" i="7" s="1"/>
  <c r="K18" i="7"/>
  <c r="P18" i="7" s="1"/>
  <c r="U18" i="7" s="1"/>
  <c r="Z18" i="7" s="1"/>
  <c r="J32" i="7"/>
  <c r="O32" i="7" s="1"/>
  <c r="T32" i="7" s="1"/>
  <c r="AD32" i="7" s="1"/>
  <c r="J26" i="7"/>
  <c r="O26" i="7" s="1"/>
  <c r="T26" i="7" s="1"/>
  <c r="AD26" i="7" s="1"/>
  <c r="K26" i="7"/>
  <c r="P26" i="7" s="1"/>
  <c r="N33" i="51"/>
  <c r="S33" i="51" s="1"/>
  <c r="X33" i="51" s="1"/>
  <c r="AH33" i="51" s="1"/>
  <c r="L18" i="7"/>
  <c r="Q18" i="7" s="1"/>
  <c r="V18" i="7" s="1"/>
  <c r="AA18" i="7" s="1"/>
  <c r="O79" i="54"/>
  <c r="O80" i="54" s="1"/>
  <c r="O74" i="54"/>
  <c r="O75" i="54" s="1"/>
  <c r="L33" i="51"/>
  <c r="Q33" i="51" s="1"/>
  <c r="V33" i="51" s="1"/>
  <c r="AF33" i="51" s="1"/>
  <c r="P74" i="54"/>
  <c r="P75" i="54" s="1"/>
  <c r="J33" i="51"/>
  <c r="O33" i="51" s="1"/>
  <c r="T33" i="51" s="1"/>
  <c r="M33" i="51"/>
  <c r="R33" i="51" s="1"/>
  <c r="W33" i="51" s="1"/>
  <c r="AG33" i="51" s="1"/>
  <c r="J25" i="7"/>
  <c r="O25" i="7" s="1"/>
  <c r="T25" i="7" s="1"/>
  <c r="AD25" i="7" s="1"/>
  <c r="L19" i="7"/>
  <c r="Q19" i="7" s="1"/>
  <c r="J18" i="7"/>
  <c r="O18" i="7" s="1"/>
  <c r="T18" i="7" s="1"/>
  <c r="Y18" i="7" s="1"/>
  <c r="N32" i="7"/>
  <c r="S32" i="7" s="1"/>
  <c r="L32" i="7"/>
  <c r="Q32" i="7" s="1"/>
  <c r="V32" i="7" s="1"/>
  <c r="AF32" i="7" s="1"/>
  <c r="L25" i="7"/>
  <c r="Q25" i="7" s="1"/>
  <c r="V25" i="7" s="1"/>
  <c r="AF25" i="7" s="1"/>
  <c r="K19" i="7"/>
  <c r="P19" i="7" s="1"/>
  <c r="U19" i="7" s="1"/>
  <c r="AE19" i="7" s="1"/>
  <c r="J19" i="7"/>
  <c r="O19" i="7" s="1"/>
  <c r="T19" i="7" s="1"/>
  <c r="M18" i="7"/>
  <c r="R18" i="7" s="1"/>
  <c r="W18" i="7" s="1"/>
  <c r="AB18" i="7" s="1"/>
  <c r="M32" i="7"/>
  <c r="R32" i="7" s="1"/>
  <c r="W32" i="7" s="1"/>
  <c r="AG32" i="7" s="1"/>
  <c r="S12" i="100"/>
  <c r="K25" i="7"/>
  <c r="P25" i="7" s="1"/>
  <c r="U25" i="7" s="1"/>
  <c r="AE25" i="7" s="1"/>
  <c r="M19" i="7"/>
  <c r="R19" i="7" s="1"/>
  <c r="W19" i="7" s="1"/>
  <c r="AG19" i="7" s="1"/>
  <c r="C74" i="54"/>
  <c r="C75" i="54" s="1"/>
  <c r="C79" i="54"/>
  <c r="C80" i="54" s="1"/>
  <c r="B2803" i="1"/>
  <c r="C2803" i="1" s="1"/>
  <c r="B1127" i="1"/>
  <c r="C1127" i="1" s="1"/>
  <c r="B2964" i="1"/>
  <c r="C2964" i="1" s="1"/>
  <c r="B2221" i="1"/>
  <c r="C2221" i="1" s="1"/>
  <c r="B589" i="1"/>
  <c r="C589" i="1" s="1"/>
  <c r="J34" i="51"/>
  <c r="O34" i="51" s="1"/>
  <c r="T34" i="51" s="1"/>
  <c r="AD34" i="51" s="1"/>
  <c r="B1781" i="1"/>
  <c r="C1781" i="1" s="1"/>
  <c r="B2791" i="1"/>
  <c r="C2791" i="1" s="1"/>
  <c r="B2095" i="1"/>
  <c r="C2095" i="1" s="1"/>
  <c r="B1370" i="1"/>
  <c r="C1370" i="1" s="1"/>
  <c r="B2283" i="1"/>
  <c r="C2283" i="1" s="1"/>
  <c r="B1083" i="1"/>
  <c r="C1083" i="1" s="1"/>
  <c r="B72" i="1"/>
  <c r="C72" i="1" s="1"/>
  <c r="B3001" i="1"/>
  <c r="C3001" i="1" s="1"/>
  <c r="B2348" i="1"/>
  <c r="C2348" i="1" s="1"/>
  <c r="B412" i="1"/>
  <c r="C412" i="1" s="1"/>
  <c r="B2819" i="1"/>
  <c r="C2819" i="1" s="1"/>
  <c r="B1969" i="1"/>
  <c r="C1969" i="1" s="1"/>
  <c r="B348" i="1"/>
  <c r="C348" i="1" s="1"/>
  <c r="B1445" i="1"/>
  <c r="C1445" i="1" s="1"/>
  <c r="B501" i="1"/>
  <c r="C501" i="1" s="1"/>
  <c r="N34" i="51"/>
  <c r="S34" i="51" s="1"/>
  <c r="X34" i="51" s="1"/>
  <c r="AH34" i="51" s="1"/>
  <c r="B721" i="1"/>
  <c r="C721" i="1" s="1"/>
  <c r="B927" i="1"/>
  <c r="C927" i="1" s="1"/>
  <c r="B1748" i="1"/>
  <c r="C1748" i="1" s="1"/>
  <c r="B2309" i="1"/>
  <c r="C2309" i="1" s="1"/>
  <c r="B2594" i="1"/>
  <c r="C2594" i="1" s="1"/>
  <c r="N21" i="51"/>
  <c r="S21" i="51" s="1"/>
  <c r="X21" i="51" s="1"/>
  <c r="AH21" i="51" s="1"/>
  <c r="B2203" i="1"/>
  <c r="C2203" i="1" s="1"/>
  <c r="B1988" i="1"/>
  <c r="C1988" i="1" s="1"/>
  <c r="B46" i="1"/>
  <c r="C46" i="1" s="1"/>
  <c r="B2336" i="1"/>
  <c r="C2336" i="1" s="1"/>
  <c r="B2133" i="1"/>
  <c r="C2133" i="1" s="1"/>
  <c r="K21" i="51"/>
  <c r="P21" i="51" s="1"/>
  <c r="U21" i="51" s="1"/>
  <c r="AE21" i="51" s="1"/>
  <c r="B50" i="1"/>
  <c r="C50" i="1" s="1"/>
  <c r="B2852" i="1"/>
  <c r="C2852" i="1" s="1"/>
  <c r="B2173" i="1"/>
  <c r="C2173" i="1" s="1"/>
  <c r="B2082" i="1"/>
  <c r="C2082" i="1" s="1"/>
  <c r="M21" i="51"/>
  <c r="R21" i="51" s="1"/>
  <c r="W21" i="51" s="1"/>
  <c r="AG21" i="51" s="1"/>
  <c r="L103" i="47"/>
  <c r="M34" i="51"/>
  <c r="R34" i="51" s="1"/>
  <c r="W34" i="51" s="1"/>
  <c r="AG34" i="51" s="1"/>
  <c r="B285" i="1"/>
  <c r="C285" i="1" s="1"/>
  <c r="B973" i="1"/>
  <c r="C973" i="1" s="1"/>
  <c r="B2654" i="1"/>
  <c r="C2654" i="1" s="1"/>
  <c r="B2434" i="1"/>
  <c r="C2434" i="1" s="1"/>
  <c r="B805" i="1"/>
  <c r="C805" i="1" s="1"/>
  <c r="B2420" i="1"/>
  <c r="C2420" i="1" s="1"/>
  <c r="B656" i="1"/>
  <c r="C656" i="1" s="1"/>
  <c r="B1173" i="1"/>
  <c r="C1173" i="1" s="1"/>
  <c r="B1618" i="1"/>
  <c r="C1618" i="1" s="1"/>
  <c r="B1277" i="1"/>
  <c r="C1277" i="1" s="1"/>
  <c r="B1563" i="1"/>
  <c r="C1563" i="1" s="1"/>
  <c r="B837" i="1"/>
  <c r="C837" i="1" s="1"/>
  <c r="B2793" i="1"/>
  <c r="C2793" i="1" s="1"/>
  <c r="B2084" i="1"/>
  <c r="C2084" i="1" s="1"/>
  <c r="B37" i="1"/>
  <c r="C37" i="1" s="1"/>
  <c r="B2940" i="1"/>
  <c r="C2940" i="1" s="1"/>
  <c r="K34" i="51"/>
  <c r="P34" i="51" s="1"/>
  <c r="U34" i="51" s="1"/>
  <c r="B1056" i="1"/>
  <c r="C1056" i="1" s="1"/>
  <c r="B1092" i="1"/>
  <c r="C1092" i="1" s="1"/>
  <c r="B1736" i="1"/>
  <c r="C1736" i="1" s="1"/>
  <c r="B1316" i="1"/>
  <c r="C1316" i="1" s="1"/>
  <c r="B2497" i="1"/>
  <c r="C2497" i="1" s="1"/>
  <c r="B991" i="1"/>
  <c r="C991" i="1" s="1"/>
  <c r="B877" i="1"/>
  <c r="C877" i="1" s="1"/>
  <c r="B2529" i="1"/>
  <c r="C2529" i="1" s="1"/>
  <c r="N26" i="51"/>
  <c r="S26" i="51" s="1"/>
  <c r="X26" i="51" s="1"/>
  <c r="AH26" i="51" s="1"/>
  <c r="B102" i="1"/>
  <c r="C102" i="1" s="1"/>
  <c r="B2167" i="1"/>
  <c r="C2167" i="1" s="1"/>
  <c r="J21" i="51"/>
  <c r="O21" i="51" s="1"/>
  <c r="T21" i="51" s="1"/>
  <c r="AD21" i="51" s="1"/>
  <c r="N32" i="51"/>
  <c r="S32" i="51" s="1"/>
  <c r="X32" i="51" s="1"/>
  <c r="AH32" i="51" s="1"/>
  <c r="B1882" i="1"/>
  <c r="C1882" i="1" s="1"/>
  <c r="B541" i="1"/>
  <c r="C541" i="1" s="1"/>
  <c r="B2579" i="1"/>
  <c r="C2579" i="1" s="1"/>
  <c r="B269" i="1"/>
  <c r="C269" i="1" s="1"/>
  <c r="B2943" i="1"/>
  <c r="C2943" i="1" s="1"/>
  <c r="B2848" i="1"/>
  <c r="C2848" i="1" s="1"/>
  <c r="B1018" i="1"/>
  <c r="C1018" i="1" s="1"/>
  <c r="B632" i="1"/>
  <c r="C632" i="1" s="1"/>
  <c r="B761" i="1"/>
  <c r="C761" i="1" s="1"/>
  <c r="B2914" i="1"/>
  <c r="C2914" i="1" s="1"/>
  <c r="J20" i="51"/>
  <c r="O20" i="51" s="1"/>
  <c r="T20" i="51" s="1"/>
  <c r="AD20" i="51" s="1"/>
  <c r="K32" i="51"/>
  <c r="P32" i="51" s="1"/>
  <c r="U32" i="51" s="1"/>
  <c r="AE32" i="51" s="1"/>
  <c r="M101" i="47"/>
  <c r="L32" i="51"/>
  <c r="Q32" i="51" s="1"/>
  <c r="V32" i="51" s="1"/>
  <c r="AF32" i="51" s="1"/>
  <c r="K23" i="51"/>
  <c r="P23" i="51" s="1"/>
  <c r="U23" i="51" s="1"/>
  <c r="AE23" i="51" s="1"/>
  <c r="L26" i="51"/>
  <c r="Q26" i="51" s="1"/>
  <c r="V26" i="51" s="1"/>
  <c r="AF26" i="51" s="1"/>
  <c r="J32" i="51"/>
  <c r="O32" i="51" s="1"/>
  <c r="B1244" i="1"/>
  <c r="C1244" i="1" s="1"/>
  <c r="B1956" i="1"/>
  <c r="C1956" i="1" s="1"/>
  <c r="B1811" i="1"/>
  <c r="C1811" i="1" s="1"/>
  <c r="B1274" i="1"/>
  <c r="C1274" i="1" s="1"/>
  <c r="B2321" i="1"/>
  <c r="C2321" i="1" s="1"/>
  <c r="B1733" i="1"/>
  <c r="C1733" i="1" s="1"/>
  <c r="B2005" i="1"/>
  <c r="C2005" i="1" s="1"/>
  <c r="B1138" i="1"/>
  <c r="C1138" i="1" s="1"/>
  <c r="B1642" i="1"/>
  <c r="C1642" i="1" s="1"/>
  <c r="B2544" i="1"/>
  <c r="C2544" i="1" s="1"/>
  <c r="B115" i="1"/>
  <c r="C115" i="1" s="1"/>
  <c r="B360" i="1"/>
  <c r="C360" i="1" s="1"/>
  <c r="B2449" i="1"/>
  <c r="C2449" i="1" s="1"/>
  <c r="B638" i="1"/>
  <c r="C638" i="1" s="1"/>
  <c r="B1226" i="1"/>
  <c r="C1226" i="1" s="1"/>
  <c r="B471" i="1"/>
  <c r="C471" i="1" s="1"/>
  <c r="B2557" i="1"/>
  <c r="C2557" i="1" s="1"/>
  <c r="B134" i="1"/>
  <c r="C134" i="1" s="1"/>
  <c r="B1697" i="1"/>
  <c r="C1697" i="1" s="1"/>
  <c r="B2582" i="1"/>
  <c r="C2582" i="1" s="1"/>
  <c r="B2538" i="1"/>
  <c r="C2538" i="1" s="1"/>
  <c r="B2205" i="1"/>
  <c r="C2205" i="1" s="1"/>
  <c r="B1437" i="1"/>
  <c r="C1437" i="1" s="1"/>
  <c r="B1335" i="1"/>
  <c r="C1335" i="1" s="1"/>
  <c r="B2078" i="1"/>
  <c r="C2078" i="1" s="1"/>
  <c r="B686" i="1"/>
  <c r="C686" i="1" s="1"/>
  <c r="B2062" i="1"/>
  <c r="C2062" i="1" s="1"/>
  <c r="B1130" i="1"/>
  <c r="C1130" i="1" s="1"/>
  <c r="B1900" i="1"/>
  <c r="C1900" i="1" s="1"/>
  <c r="B2881" i="1"/>
  <c r="C2881" i="1" s="1"/>
  <c r="B1267" i="1"/>
  <c r="C1267" i="1" s="1"/>
  <c r="B1354" i="1"/>
  <c r="C1354" i="1" s="1"/>
  <c r="B1827" i="1"/>
  <c r="C1827" i="1" s="1"/>
  <c r="B195" i="1"/>
  <c r="C195" i="1" s="1"/>
  <c r="B2900" i="1"/>
  <c r="C2900" i="1" s="1"/>
  <c r="B1340" i="1"/>
  <c r="C1340" i="1" s="1"/>
  <c r="B960" i="1"/>
  <c r="C960" i="1" s="1"/>
  <c r="B731" i="1"/>
  <c r="C731" i="1" s="1"/>
  <c r="B881" i="1"/>
  <c r="C881" i="1" s="1"/>
  <c r="B2870" i="1"/>
  <c r="C2870" i="1" s="1"/>
  <c r="B814" i="1"/>
  <c r="C814" i="1" s="1"/>
  <c r="B1183" i="1"/>
  <c r="C1183" i="1" s="1"/>
  <c r="B2485" i="1"/>
  <c r="C2485" i="1" s="1"/>
  <c r="B2030" i="1"/>
  <c r="C2030" i="1" s="1"/>
  <c r="B1974" i="1"/>
  <c r="C1974" i="1" s="1"/>
  <c r="B2045" i="1"/>
  <c r="C2045" i="1" s="1"/>
  <c r="B1283" i="1"/>
  <c r="C1283" i="1" s="1"/>
  <c r="B954" i="1"/>
  <c r="C954" i="1" s="1"/>
  <c r="B951" i="1"/>
  <c r="C951" i="1" s="1"/>
  <c r="B1061" i="1"/>
  <c r="C1061" i="1" s="1"/>
  <c r="B2915" i="1"/>
  <c r="C2915" i="1" s="1"/>
  <c r="B602" i="1"/>
  <c r="C602" i="1" s="1"/>
  <c r="B2057" i="1"/>
  <c r="C2057" i="1" s="1"/>
  <c r="B1772" i="1"/>
  <c r="C1772" i="1" s="1"/>
  <c r="B352" i="1"/>
  <c r="C352" i="1" s="1"/>
  <c r="B2584" i="1"/>
  <c r="C2584" i="1" s="1"/>
  <c r="B1144" i="1"/>
  <c r="C1144" i="1" s="1"/>
  <c r="B2942" i="1"/>
  <c r="C2942" i="1" s="1"/>
  <c r="B826" i="1"/>
  <c r="C826" i="1" s="1"/>
  <c r="B2003" i="1"/>
  <c r="C2003" i="1" s="1"/>
  <c r="B1424" i="1"/>
  <c r="C1424" i="1" s="1"/>
  <c r="B1091" i="1"/>
  <c r="C1091" i="1" s="1"/>
  <c r="B1093" i="1"/>
  <c r="C1093" i="1" s="1"/>
  <c r="B1456" i="1"/>
  <c r="C1456" i="1" s="1"/>
  <c r="B2215" i="1"/>
  <c r="C2215" i="1" s="1"/>
  <c r="B2444" i="1"/>
  <c r="C2444" i="1" s="1"/>
  <c r="B1875" i="1"/>
  <c r="C1875" i="1" s="1"/>
  <c r="B566" i="1"/>
  <c r="C566" i="1" s="1"/>
  <c r="B2474" i="1"/>
  <c r="C2474" i="1" s="1"/>
  <c r="B226" i="1"/>
  <c r="C226" i="1" s="1"/>
  <c r="B64" i="1"/>
  <c r="C64" i="1" s="1"/>
  <c r="B1455" i="1"/>
  <c r="C1455" i="1" s="1"/>
  <c r="B77" i="1"/>
  <c r="C77" i="1" s="1"/>
  <c r="B926" i="1"/>
  <c r="C926" i="1" s="1"/>
  <c r="B918" i="1"/>
  <c r="C918" i="1" s="1"/>
  <c r="B735" i="1"/>
  <c r="C735" i="1" s="1"/>
  <c r="B282" i="1"/>
  <c r="C282" i="1" s="1"/>
  <c r="B2171" i="1"/>
  <c r="C2171" i="1" s="1"/>
  <c r="B2202" i="1"/>
  <c r="C2202" i="1" s="1"/>
  <c r="B2199" i="1"/>
  <c r="C2199" i="1" s="1"/>
  <c r="B2688" i="1"/>
  <c r="C2688" i="1" s="1"/>
  <c r="B2820" i="1"/>
  <c r="C2820" i="1" s="1"/>
  <c r="B2231" i="1"/>
  <c r="C2231" i="1" s="1"/>
  <c r="B2293" i="1"/>
  <c r="C2293" i="1" s="1"/>
  <c r="B1770" i="1"/>
  <c r="C1770" i="1" s="1"/>
  <c r="B2782" i="1"/>
  <c r="C2782" i="1" s="1"/>
  <c r="B820" i="1"/>
  <c r="C820" i="1" s="1"/>
  <c r="B744" i="1"/>
  <c r="C744" i="1" s="1"/>
  <c r="B1121" i="1"/>
  <c r="C1121" i="1" s="1"/>
  <c r="B1516" i="1"/>
  <c r="C1516" i="1" s="1"/>
  <c r="B1050" i="1"/>
  <c r="C1050" i="1" s="1"/>
  <c r="B1667" i="1"/>
  <c r="C1667" i="1" s="1"/>
  <c r="B117" i="1"/>
  <c r="C117" i="1" s="1"/>
  <c r="B311" i="1"/>
  <c r="C311" i="1" s="1"/>
  <c r="B1153" i="1"/>
  <c r="C1153" i="1" s="1"/>
  <c r="B1905" i="1"/>
  <c r="C1905" i="1" s="1"/>
  <c r="B1312" i="1"/>
  <c r="C1312" i="1" s="1"/>
  <c r="B1791" i="1"/>
  <c r="C1791" i="1" s="1"/>
  <c r="B2407" i="1"/>
  <c r="C2407" i="1" s="1"/>
  <c r="B174" i="1"/>
  <c r="C174" i="1" s="1"/>
  <c r="B468" i="1"/>
  <c r="C468" i="1" s="1"/>
  <c r="B961" i="1"/>
  <c r="C961" i="1" s="1"/>
  <c r="B835" i="1"/>
  <c r="C835" i="1" s="1"/>
  <c r="B1730" i="1"/>
  <c r="C1730" i="1" s="1"/>
  <c r="B1957" i="1"/>
  <c r="C1957" i="1" s="1"/>
  <c r="B2397" i="1"/>
  <c r="C2397" i="1" s="1"/>
  <c r="B852" i="1"/>
  <c r="C852" i="1" s="1"/>
  <c r="B2645" i="1"/>
  <c r="C2645" i="1" s="1"/>
  <c r="B66" i="1"/>
  <c r="C66" i="1" s="1"/>
  <c r="B662" i="1"/>
  <c r="C662" i="1" s="1"/>
  <c r="B2697" i="1"/>
  <c r="C2697" i="1" s="1"/>
  <c r="B2262" i="1"/>
  <c r="C2262" i="1" s="1"/>
  <c r="B783" i="1"/>
  <c r="C783" i="1" s="1"/>
  <c r="B1331" i="1"/>
  <c r="C1331" i="1" s="1"/>
  <c r="B1344" i="1"/>
  <c r="C1344" i="1" s="1"/>
  <c r="B1308" i="1"/>
  <c r="C1308" i="1" s="1"/>
  <c r="B2413" i="1"/>
  <c r="C2413" i="1" s="1"/>
  <c r="B1004" i="1"/>
  <c r="C1004" i="1" s="1"/>
  <c r="B812" i="1"/>
  <c r="C812" i="1" s="1"/>
  <c r="B2188" i="1"/>
  <c r="C2188" i="1" s="1"/>
  <c r="B2858" i="1"/>
  <c r="C2858" i="1" s="1"/>
  <c r="B2338" i="1"/>
  <c r="C2338" i="1" s="1"/>
  <c r="B99" i="1"/>
  <c r="C99" i="1" s="1"/>
  <c r="B268" i="1"/>
  <c r="C268" i="1" s="1"/>
  <c r="B381" i="1"/>
  <c r="C381" i="1" s="1"/>
  <c r="B822" i="1"/>
  <c r="C822" i="1" s="1"/>
  <c r="B524" i="1"/>
  <c r="C524" i="1" s="1"/>
  <c r="B1609" i="1"/>
  <c r="C1609" i="1" s="1"/>
  <c r="B364" i="1"/>
  <c r="C364" i="1" s="1"/>
  <c r="B186" i="1"/>
  <c r="C186" i="1" s="1"/>
  <c r="B165" i="1"/>
  <c r="C165" i="1" s="1"/>
  <c r="B2251" i="1"/>
  <c r="C2251" i="1" s="1"/>
  <c r="B1913" i="1"/>
  <c r="C1913" i="1" s="1"/>
  <c r="B2019" i="1"/>
  <c r="C2019" i="1" s="1"/>
  <c r="B170" i="1"/>
  <c r="C170" i="1" s="1"/>
  <c r="B1735" i="1"/>
  <c r="C1735" i="1" s="1"/>
  <c r="B1823" i="1"/>
  <c r="C1823" i="1" s="1"/>
  <c r="B171" i="1"/>
  <c r="C171" i="1" s="1"/>
  <c r="B2652" i="1"/>
  <c r="C2652" i="1" s="1"/>
  <c r="B1107" i="1"/>
  <c r="C1107" i="1" s="1"/>
  <c r="B2417" i="1"/>
  <c r="C2417" i="1" s="1"/>
  <c r="B467" i="1"/>
  <c r="C467" i="1" s="1"/>
  <c r="B241" i="1"/>
  <c r="C241" i="1" s="1"/>
  <c r="B1051" i="1"/>
  <c r="C1051" i="1" s="1"/>
  <c r="B2339" i="1"/>
  <c r="C2339" i="1" s="1"/>
  <c r="B1186" i="1"/>
  <c r="C1186" i="1" s="1"/>
  <c r="B1643" i="1"/>
  <c r="C1643" i="1" s="1"/>
  <c r="B2682" i="1"/>
  <c r="C2682" i="1" s="1"/>
  <c r="B2787" i="1"/>
  <c r="C2787" i="1" s="1"/>
  <c r="B1151" i="1"/>
  <c r="C1151" i="1" s="1"/>
  <c r="B2323" i="1"/>
  <c r="C2323" i="1" s="1"/>
  <c r="B1520" i="1"/>
  <c r="C1520" i="1" s="1"/>
  <c r="B2883" i="1"/>
  <c r="C2883" i="1" s="1"/>
  <c r="B2976" i="1"/>
  <c r="C2976" i="1" s="1"/>
  <c r="B1598" i="1"/>
  <c r="C1598" i="1" s="1"/>
  <c r="B1679" i="1"/>
  <c r="C1679" i="1" s="1"/>
  <c r="B1278" i="1"/>
  <c r="C1278" i="1" s="1"/>
  <c r="B519" i="1"/>
  <c r="C519" i="1" s="1"/>
  <c r="B1793" i="1"/>
  <c r="C1793" i="1" s="1"/>
  <c r="B799" i="1"/>
  <c r="C799" i="1" s="1"/>
  <c r="B690" i="1"/>
  <c r="C690" i="1" s="1"/>
  <c r="B959" i="1"/>
  <c r="C959" i="1" s="1"/>
  <c r="B365" i="1"/>
  <c r="C365" i="1" s="1"/>
  <c r="B384" i="1"/>
  <c r="C384" i="1" s="1"/>
  <c r="B2752" i="1"/>
  <c r="C2752" i="1" s="1"/>
  <c r="B756" i="1"/>
  <c r="C756" i="1" s="1"/>
  <c r="B1288" i="1"/>
  <c r="C1288" i="1" s="1"/>
  <c r="B2573" i="1"/>
  <c r="C2573" i="1" s="1"/>
  <c r="B1940" i="1"/>
  <c r="C1940" i="1" s="1"/>
  <c r="B2514" i="1"/>
  <c r="C2514" i="1" s="1"/>
  <c r="B204" i="1"/>
  <c r="C204" i="1" s="1"/>
  <c r="B795" i="1"/>
  <c r="C795" i="1" s="1"/>
  <c r="B1947" i="1"/>
  <c r="C1947" i="1" s="1"/>
  <c r="B475" i="1"/>
  <c r="C475" i="1" s="1"/>
  <c r="B928" i="1"/>
  <c r="C928" i="1" s="1"/>
  <c r="B1010" i="1"/>
  <c r="C1010" i="1" s="1"/>
  <c r="B1809" i="1"/>
  <c r="C1809" i="1" s="1"/>
  <c r="B2235" i="1"/>
  <c r="C2235" i="1" s="1"/>
  <c r="B2237" i="1"/>
  <c r="C2237" i="1" s="1"/>
  <c r="B596" i="1"/>
  <c r="C596" i="1" s="1"/>
  <c r="B1924" i="1"/>
  <c r="C1924" i="1" s="1"/>
  <c r="B62" i="1"/>
  <c r="C62" i="1" s="1"/>
  <c r="B382" i="1"/>
  <c r="C382" i="1" s="1"/>
  <c r="B2461" i="1"/>
  <c r="C2461" i="1" s="1"/>
  <c r="B2559" i="1"/>
  <c r="C2559" i="1" s="1"/>
  <c r="B1666" i="1"/>
  <c r="C1666" i="1" s="1"/>
  <c r="B2428" i="1"/>
  <c r="C2428" i="1" s="1"/>
  <c r="B219" i="1"/>
  <c r="C219" i="1" s="1"/>
  <c r="B236" i="1"/>
  <c r="C236" i="1" s="1"/>
  <c r="B202" i="1"/>
  <c r="C202" i="1" s="1"/>
  <c r="B1116" i="1"/>
  <c r="C1116" i="1" s="1"/>
  <c r="B1343" i="1"/>
  <c r="C1343" i="1" s="1"/>
  <c r="B392" i="1"/>
  <c r="C392" i="1" s="1"/>
  <c r="B2110" i="1"/>
  <c r="C2110" i="1" s="1"/>
  <c r="B436" i="1"/>
  <c r="C436" i="1" s="1"/>
  <c r="B2878" i="1"/>
  <c r="C2878" i="1" s="1"/>
  <c r="B1928" i="1"/>
  <c r="C1928" i="1" s="1"/>
  <c r="B1504" i="1"/>
  <c r="C1504" i="1" s="1"/>
  <c r="B2356" i="1"/>
  <c r="C2356" i="1" s="1"/>
  <c r="B257" i="1"/>
  <c r="C257" i="1" s="1"/>
  <c r="B1114" i="1"/>
  <c r="C1114" i="1" s="1"/>
  <c r="B2675" i="1"/>
  <c r="C2675" i="1" s="1"/>
  <c r="B1473" i="1"/>
  <c r="C1473" i="1" s="1"/>
  <c r="B2150" i="1"/>
  <c r="C2150" i="1" s="1"/>
  <c r="B578" i="1"/>
  <c r="C578" i="1" s="1"/>
  <c r="B307" i="1"/>
  <c r="C307" i="1" s="1"/>
  <c r="B1119" i="1"/>
  <c r="C1119" i="1" s="1"/>
  <c r="B2503" i="1"/>
  <c r="C2503" i="1" s="1"/>
  <c r="B2032" i="1"/>
  <c r="C2032" i="1" s="1"/>
  <c r="B1964" i="1"/>
  <c r="C1964" i="1" s="1"/>
  <c r="B338" i="1"/>
  <c r="C338" i="1" s="1"/>
  <c r="B1125" i="1"/>
  <c r="C1125" i="1" s="1"/>
  <c r="B407" i="1"/>
  <c r="C407" i="1" s="1"/>
  <c r="B2616" i="1"/>
  <c r="C2616" i="1" s="1"/>
  <c r="B321" i="1"/>
  <c r="C321" i="1" s="1"/>
  <c r="B31" i="1"/>
  <c r="C31" i="1" s="1"/>
  <c r="B1157" i="1"/>
  <c r="C1157" i="1" s="1"/>
  <c r="B823" i="1"/>
  <c r="C823" i="1" s="1"/>
  <c r="B2472" i="1"/>
  <c r="C2472" i="1" s="1"/>
  <c r="B1041" i="1"/>
  <c r="C1041" i="1" s="1"/>
  <c r="B2362" i="1"/>
  <c r="C2362" i="1" s="1"/>
  <c r="B593" i="1"/>
  <c r="C593" i="1" s="1"/>
  <c r="B2012" i="1"/>
  <c r="C2012" i="1" s="1"/>
  <c r="B2862" i="1"/>
  <c r="C2862" i="1" s="1"/>
  <c r="B327" i="1"/>
  <c r="C327" i="1" s="1"/>
  <c r="B577" i="1"/>
  <c r="C577" i="1" s="1"/>
  <c r="B245" i="1"/>
  <c r="C245" i="1" s="1"/>
  <c r="B2261" i="1"/>
  <c r="C2261" i="1" s="1"/>
  <c r="B2248" i="1"/>
  <c r="C2248" i="1" s="1"/>
  <c r="B1500" i="1"/>
  <c r="C1500" i="1" s="1"/>
  <c r="B193" i="1"/>
  <c r="C193" i="1" s="1"/>
  <c r="B324" i="1"/>
  <c r="C324" i="1" s="1"/>
  <c r="B2596" i="1"/>
  <c r="C2596" i="1" s="1"/>
  <c r="B1556" i="1"/>
  <c r="C1556" i="1" s="1"/>
  <c r="B2972" i="1"/>
  <c r="C2972" i="1" s="1"/>
  <c r="B337" i="1"/>
  <c r="C337" i="1" s="1"/>
  <c r="B30" i="1"/>
  <c r="C30" i="1" s="1"/>
  <c r="B1636" i="1"/>
  <c r="C1636" i="1" s="1"/>
  <c r="B432" i="1"/>
  <c r="C432" i="1" s="1"/>
  <c r="B1743" i="1"/>
  <c r="C1743" i="1" s="1"/>
  <c r="B1458" i="1"/>
  <c r="C1458" i="1" s="1"/>
  <c r="B349" i="1"/>
  <c r="C349" i="1" s="1"/>
  <c r="B1558" i="1"/>
  <c r="C1558" i="1" s="1"/>
  <c r="B1634" i="1"/>
  <c r="C1634" i="1" s="1"/>
  <c r="B2633" i="1"/>
  <c r="C2633" i="1" s="1"/>
  <c r="B2405" i="1"/>
  <c r="C2405" i="1" s="1"/>
  <c r="B1059" i="1"/>
  <c r="C1059" i="1" s="1"/>
  <c r="B1477" i="1"/>
  <c r="C1477" i="1" s="1"/>
  <c r="B861" i="1"/>
  <c r="C861" i="1" s="1"/>
  <c r="B999" i="1"/>
  <c r="C999" i="1" s="1"/>
  <c r="B1953" i="1"/>
  <c r="C1953" i="1" s="1"/>
  <c r="B1576" i="1"/>
  <c r="C1576" i="1" s="1"/>
  <c r="B13" i="1"/>
  <c r="C13" i="1" s="1"/>
  <c r="B2638" i="1"/>
  <c r="C2638" i="1" s="1"/>
  <c r="B395" i="1"/>
  <c r="C395" i="1" s="1"/>
  <c r="B1175" i="1"/>
  <c r="C1175" i="1" s="1"/>
  <c r="B1851" i="1"/>
  <c r="C1851" i="1" s="1"/>
  <c r="B2025" i="1"/>
  <c r="C2025" i="1" s="1"/>
  <c r="B935" i="1"/>
  <c r="C935" i="1" s="1"/>
  <c r="B1752" i="1"/>
  <c r="C1752" i="1" s="1"/>
  <c r="B1228" i="1"/>
  <c r="C1228" i="1" s="1"/>
  <c r="B1847" i="1"/>
  <c r="C1847" i="1" s="1"/>
  <c r="B1801" i="1"/>
  <c r="C1801" i="1" s="1"/>
  <c r="B1434" i="1"/>
  <c r="C1434" i="1" s="1"/>
  <c r="B1973" i="1"/>
  <c r="C1973" i="1" s="1"/>
  <c r="B1394" i="1"/>
  <c r="C1394" i="1" s="1"/>
  <c r="B35" i="1"/>
  <c r="C35" i="1" s="1"/>
  <c r="B2847" i="1"/>
  <c r="C2847" i="1" s="1"/>
  <c r="B751" i="1"/>
  <c r="C751" i="1" s="1"/>
  <c r="B1648" i="1"/>
  <c r="C1648" i="1" s="1"/>
  <c r="B208" i="1"/>
  <c r="C208" i="1" s="1"/>
  <c r="B1734" i="1"/>
  <c r="C1734" i="1" s="1"/>
  <c r="B1663" i="1"/>
  <c r="C1663" i="1" s="1"/>
  <c r="B2148" i="1"/>
  <c r="C2148" i="1" s="1"/>
  <c r="B1352" i="1"/>
  <c r="C1352" i="1" s="1"/>
  <c r="B2880" i="1"/>
  <c r="C2880" i="1" s="1"/>
  <c r="B2921" i="1"/>
  <c r="C2921" i="1" s="1"/>
  <c r="B843" i="1"/>
  <c r="C843" i="1" s="1"/>
  <c r="B234" i="1"/>
  <c r="C234" i="1" s="1"/>
  <c r="B2763" i="1"/>
  <c r="C2763" i="1" s="1"/>
  <c r="B829" i="1"/>
  <c r="C829" i="1" s="1"/>
  <c r="B2386" i="1"/>
  <c r="C2386" i="1" s="1"/>
  <c r="B608" i="1"/>
  <c r="C608" i="1" s="1"/>
  <c r="B1315" i="1"/>
  <c r="C1315" i="1" s="1"/>
  <c r="B1512" i="1"/>
  <c r="C1512" i="1" s="1"/>
  <c r="B1713" i="1"/>
  <c r="C1713" i="1" s="1"/>
  <c r="B1997" i="1"/>
  <c r="C1997" i="1" s="1"/>
  <c r="B2711" i="1"/>
  <c r="C2711" i="1" s="1"/>
  <c r="B137" i="1"/>
  <c r="C137" i="1" s="1"/>
  <c r="B520" i="1"/>
  <c r="C520" i="1" s="1"/>
  <c r="B1819" i="1"/>
  <c r="C1819" i="1" s="1"/>
  <c r="B2755" i="1"/>
  <c r="C2755" i="1" s="1"/>
  <c r="B251" i="1"/>
  <c r="C251" i="1" s="1"/>
  <c r="B1989" i="1"/>
  <c r="C1989" i="1" s="1"/>
  <c r="D1989" i="1" s="1"/>
  <c r="B2961" i="1"/>
  <c r="C2961" i="1" s="1"/>
  <c r="B1016" i="1"/>
  <c r="C1016" i="1" s="1"/>
  <c r="B1621" i="1"/>
  <c r="C1621" i="1" s="1"/>
  <c r="B2064" i="1"/>
  <c r="C2064" i="1" s="1"/>
  <c r="B603" i="1"/>
  <c r="C603" i="1" s="1"/>
  <c r="B1706" i="1"/>
  <c r="C1706" i="1" s="1"/>
  <c r="B554" i="1"/>
  <c r="C554" i="1" s="1"/>
  <c r="B1053" i="1"/>
  <c r="C1053" i="1" s="1"/>
  <c r="B759" i="1"/>
  <c r="C759" i="1" s="1"/>
  <c r="B2788" i="1"/>
  <c r="C2788" i="1" s="1"/>
  <c r="B699" i="1"/>
  <c r="C699" i="1" s="1"/>
  <c r="B2865" i="1"/>
  <c r="C2865" i="1" s="1"/>
  <c r="B1820" i="1"/>
  <c r="C1820" i="1" s="1"/>
  <c r="D1820" i="1" s="1"/>
  <c r="B3003" i="1"/>
  <c r="C3003" i="1" s="1"/>
  <c r="B1245" i="1"/>
  <c r="C1245" i="1" s="1"/>
  <c r="B2815" i="1"/>
  <c r="C2815" i="1" s="1"/>
  <c r="B2661" i="1"/>
  <c r="C2661" i="1" s="1"/>
  <c r="B610" i="1"/>
  <c r="C610" i="1" s="1"/>
  <c r="B914" i="1"/>
  <c r="C914" i="1" s="1"/>
  <c r="B2423" i="1"/>
  <c r="C2423" i="1" s="1"/>
  <c r="B119" i="1"/>
  <c r="C119" i="1" s="1"/>
  <c r="B1000" i="1"/>
  <c r="C1000" i="1" s="1"/>
  <c r="B2108" i="1"/>
  <c r="C2108" i="1" s="1"/>
  <c r="B353" i="1"/>
  <c r="C353" i="1" s="1"/>
  <c r="B2909" i="1"/>
  <c r="C2909" i="1" s="1"/>
  <c r="B1360" i="1"/>
  <c r="C1360" i="1" s="1"/>
  <c r="B1302" i="1"/>
  <c r="C1302" i="1" s="1"/>
  <c r="B1044" i="1"/>
  <c r="C1044" i="1" s="1"/>
  <c r="B1320" i="1"/>
  <c r="C1320" i="1" s="1"/>
  <c r="B2895" i="1"/>
  <c r="C2895" i="1" s="1"/>
  <c r="B1553" i="1"/>
  <c r="C1553" i="1" s="1"/>
  <c r="B1723" i="1"/>
  <c r="C1723" i="1" s="1"/>
  <c r="B2868" i="1"/>
  <c r="C2868" i="1" s="1"/>
  <c r="B1805" i="1"/>
  <c r="C1805" i="1" s="1"/>
  <c r="B2924" i="1"/>
  <c r="C2924" i="1" s="1"/>
  <c r="B782" i="1"/>
  <c r="C782" i="1" s="1"/>
  <c r="B1586" i="1"/>
  <c r="C1586" i="1" s="1"/>
  <c r="B2641" i="1"/>
  <c r="C2641" i="1" s="1"/>
  <c r="B1780" i="1"/>
  <c r="C1780" i="1" s="1"/>
  <c r="B839" i="1"/>
  <c r="C839" i="1" s="1"/>
  <c r="B2877" i="1"/>
  <c r="C2877" i="1" s="1"/>
  <c r="B898" i="1"/>
  <c r="C898" i="1" s="1"/>
  <c r="B253" i="1"/>
  <c r="C253" i="1" s="1"/>
  <c r="B1942" i="1"/>
  <c r="C1942" i="1" s="1"/>
  <c r="B1740" i="1"/>
  <c r="C1740" i="1" s="1"/>
  <c r="B1441" i="1"/>
  <c r="C1441" i="1" s="1"/>
  <c r="B9" i="1"/>
  <c r="C9" i="1" s="1"/>
  <c r="B68" i="1"/>
  <c r="C68" i="1" s="1"/>
  <c r="B2744" i="1"/>
  <c r="C2744" i="1" s="1"/>
  <c r="B1518" i="1"/>
  <c r="C1518" i="1" s="1"/>
  <c r="B1210" i="1"/>
  <c r="C1210" i="1" s="1"/>
  <c r="B435" i="1"/>
  <c r="C435" i="1" s="1"/>
  <c r="B623" i="1"/>
  <c r="C623" i="1" s="1"/>
  <c r="B1976" i="1"/>
  <c r="C1976" i="1" s="1"/>
  <c r="B2627" i="1"/>
  <c r="C2627" i="1" s="1"/>
  <c r="B1608" i="1"/>
  <c r="C1608" i="1" s="1"/>
  <c r="B2159" i="1"/>
  <c r="C2159" i="1" s="1"/>
  <c r="B2470" i="1"/>
  <c r="C2470" i="1" s="1"/>
  <c r="B52" i="1"/>
  <c r="C52" i="1" s="1"/>
  <c r="B1364" i="1"/>
  <c r="C1364" i="1" s="1"/>
  <c r="B249" i="1"/>
  <c r="C249" i="1" s="1"/>
  <c r="B1932" i="1"/>
  <c r="C1932" i="1" s="1"/>
  <c r="B2528" i="1"/>
  <c r="C2528" i="1" s="1"/>
  <c r="B500" i="1"/>
  <c r="C500" i="1" s="1"/>
  <c r="B2919" i="1"/>
  <c r="C2919" i="1" s="1"/>
  <c r="B1885" i="1"/>
  <c r="C1885" i="1" s="1"/>
  <c r="B1103" i="1"/>
  <c r="C1103" i="1" s="1"/>
  <c r="B1676" i="1"/>
  <c r="C1676" i="1" s="1"/>
  <c r="B599" i="1"/>
  <c r="C599" i="1" s="1"/>
  <c r="B1540" i="1"/>
  <c r="C1540" i="1" s="1"/>
  <c r="B150" i="1"/>
  <c r="C150" i="1" s="1"/>
  <c r="B1906" i="1"/>
  <c r="C1906" i="1" s="1"/>
  <c r="B216" i="1"/>
  <c r="C216" i="1" s="1"/>
  <c r="B2625" i="1"/>
  <c r="C2625" i="1" s="1"/>
  <c r="B1307" i="1"/>
  <c r="C1307" i="1" s="1"/>
  <c r="B1398" i="1"/>
  <c r="C1398" i="1" s="1"/>
  <c r="B1623" i="1"/>
  <c r="C1623" i="1" s="1"/>
  <c r="B2160" i="1"/>
  <c r="C2160" i="1" s="1"/>
  <c r="B126" i="1"/>
  <c r="C126" i="1" s="1"/>
  <c r="B2185" i="1"/>
  <c r="C2185" i="1" s="1"/>
  <c r="B1910" i="1"/>
  <c r="C1910" i="1" s="1"/>
  <c r="B2206" i="1"/>
  <c r="C2206" i="1" s="1"/>
  <c r="B1055" i="1"/>
  <c r="C1055" i="1" s="1"/>
  <c r="B469" i="1"/>
  <c r="C469" i="1" s="1"/>
  <c r="B2704" i="1"/>
  <c r="C2704" i="1" s="1"/>
  <c r="B59" i="1"/>
  <c r="C59" i="1" s="1"/>
  <c r="B2742" i="1"/>
  <c r="C2742" i="1" s="1"/>
  <c r="B1923" i="1"/>
  <c r="C1923" i="1" s="1"/>
  <c r="B2556" i="1"/>
  <c r="C2556" i="1" s="1"/>
  <c r="B2970" i="1"/>
  <c r="C2970" i="1" s="1"/>
  <c r="B857" i="1"/>
  <c r="C857" i="1" s="1"/>
  <c r="B2889" i="1"/>
  <c r="C2889" i="1" s="1"/>
  <c r="B456" i="1"/>
  <c r="C456" i="1" s="1"/>
  <c r="B635" i="1"/>
  <c r="C635" i="1" s="1"/>
  <c r="B2720" i="1"/>
  <c r="C2720" i="1" s="1"/>
  <c r="B2648" i="1"/>
  <c r="C2648" i="1" s="1"/>
  <c r="B700" i="1"/>
  <c r="C700" i="1" s="1"/>
  <c r="B188" i="1"/>
  <c r="C188" i="1" s="1"/>
  <c r="B2494" i="1"/>
  <c r="C2494" i="1" s="1"/>
  <c r="B1090" i="1"/>
  <c r="C1090" i="1" s="1"/>
  <c r="B2227" i="1"/>
  <c r="C2227" i="1" s="1"/>
  <c r="B1656" i="1"/>
  <c r="C1656" i="1" s="1"/>
  <c r="B2099" i="1"/>
  <c r="C2099" i="1" s="1"/>
  <c r="B2726" i="1"/>
  <c r="C2726" i="1" s="1"/>
  <c r="B2126" i="1"/>
  <c r="C2126" i="1" s="1"/>
  <c r="B2597" i="1"/>
  <c r="C2597" i="1" s="1"/>
  <c r="B2048" i="1"/>
  <c r="C2048" i="1" s="1"/>
  <c r="B2598" i="1"/>
  <c r="C2598" i="1" s="1"/>
  <c r="B1193" i="1"/>
  <c r="C1193" i="1" s="1"/>
  <c r="B1439" i="1"/>
  <c r="C1439" i="1" s="1"/>
  <c r="B2583" i="1"/>
  <c r="C2583" i="1" s="1"/>
  <c r="B1089" i="1"/>
  <c r="C1089" i="1" s="1"/>
  <c r="B1454" i="1"/>
  <c r="C1454" i="1" s="1"/>
  <c r="B2977" i="1"/>
  <c r="C2977" i="1" s="1"/>
  <c r="B1105" i="1"/>
  <c r="C1105" i="1" s="1"/>
  <c r="B944" i="1"/>
  <c r="C944" i="1" s="1"/>
  <c r="B579" i="1"/>
  <c r="C579" i="1" s="1"/>
  <c r="B2614" i="1"/>
  <c r="C2614" i="1" s="1"/>
  <c r="B1404" i="1"/>
  <c r="C1404" i="1" s="1"/>
  <c r="B242" i="1"/>
  <c r="C242" i="1" s="1"/>
  <c r="B1790" i="1"/>
  <c r="C1790" i="1" s="1"/>
  <c r="B1117" i="1"/>
  <c r="C1117" i="1" s="1"/>
  <c r="B124" i="1"/>
  <c r="C124" i="1" s="1"/>
  <c r="B2906" i="1"/>
  <c r="C2906" i="1" s="1"/>
  <c r="B260" i="1"/>
  <c r="C260" i="1" s="1"/>
  <c r="B2253" i="1"/>
  <c r="C2253" i="1" s="1"/>
  <c r="B2546" i="1"/>
  <c r="C2546" i="1" s="1"/>
  <c r="B1392" i="1"/>
  <c r="C1392" i="1" s="1"/>
  <c r="B1213" i="1"/>
  <c r="C1213" i="1" s="1"/>
  <c r="B2991" i="1"/>
  <c r="C2991" i="1" s="1"/>
  <c r="B616" i="1"/>
  <c r="C616" i="1" s="1"/>
  <c r="B444" i="1"/>
  <c r="C444" i="1" s="1"/>
  <c r="B2795" i="1"/>
  <c r="C2795" i="1" s="1"/>
  <c r="B838" i="1"/>
  <c r="C838" i="1" s="1"/>
  <c r="B441" i="1"/>
  <c r="C441" i="1" s="1"/>
  <c r="B1373" i="1"/>
  <c r="C1373" i="1" s="1"/>
  <c r="B2002" i="1"/>
  <c r="C2002" i="1" s="1"/>
  <c r="B966" i="1"/>
  <c r="C966" i="1" s="1"/>
  <c r="B625" i="1"/>
  <c r="C625" i="1" s="1"/>
  <c r="B1389" i="1"/>
  <c r="C1389" i="1" s="1"/>
  <c r="B2058" i="1"/>
  <c r="C2058" i="1" s="1"/>
  <c r="B2564" i="1"/>
  <c r="C2564" i="1" s="1"/>
  <c r="B1419" i="1"/>
  <c r="C1419" i="1" s="1"/>
  <c r="B2073" i="1"/>
  <c r="C2073" i="1" s="1"/>
  <c r="B2901" i="1"/>
  <c r="C2901" i="1" s="1"/>
  <c r="B2230" i="1"/>
  <c r="C2230" i="1" s="1"/>
  <c r="B87" i="1"/>
  <c r="C87" i="1" s="1"/>
  <c r="B1782" i="1"/>
  <c r="C1782" i="1" s="1"/>
  <c r="B2487" i="1"/>
  <c r="C2487" i="1" s="1"/>
  <c r="B213" i="1"/>
  <c r="C213" i="1" s="1"/>
  <c r="B28" i="1"/>
  <c r="C28" i="1" s="1"/>
  <c r="B684" i="1"/>
  <c r="C684" i="1" s="1"/>
  <c r="B673" i="1"/>
  <c r="C673" i="1" s="1"/>
  <c r="B1264" i="1"/>
  <c r="C1264" i="1" s="1"/>
  <c r="B590" i="1"/>
  <c r="C590" i="1" s="1"/>
  <c r="D590" i="1" s="1"/>
  <c r="B2027" i="1"/>
  <c r="C2027" i="1" s="1"/>
  <c r="B2869" i="1"/>
  <c r="C2869" i="1" s="1"/>
  <c r="B396" i="1"/>
  <c r="C396" i="1" s="1"/>
  <c r="B2748" i="1"/>
  <c r="C2748" i="1" s="1"/>
  <c r="B2156" i="1"/>
  <c r="C2156" i="1" s="1"/>
  <c r="B1952" i="1"/>
  <c r="C1952" i="1" s="1"/>
  <c r="B911" i="1"/>
  <c r="C911" i="1" s="1"/>
  <c r="B2490" i="1"/>
  <c r="C2490" i="1" s="1"/>
  <c r="B45" i="1"/>
  <c r="C45" i="1" s="1"/>
  <c r="B2939" i="1"/>
  <c r="C2939" i="1" s="1"/>
  <c r="B1897" i="1"/>
  <c r="C1897" i="1" s="1"/>
  <c r="B1903" i="1"/>
  <c r="C1903" i="1" s="1"/>
  <c r="B2967" i="1"/>
  <c r="C2967" i="1" s="1"/>
  <c r="B2426" i="1"/>
  <c r="C2426" i="1" s="1"/>
  <c r="B2076" i="1"/>
  <c r="C2076" i="1" s="1"/>
  <c r="B607" i="1"/>
  <c r="C607" i="1" s="1"/>
  <c r="B1362" i="1"/>
  <c r="C1362" i="1" s="1"/>
  <c r="B1877" i="1"/>
  <c r="C1877" i="1" s="1"/>
  <c r="B1652" i="1"/>
  <c r="C1652" i="1" s="1"/>
  <c r="B2098" i="1"/>
  <c r="C2098" i="1" s="1"/>
  <c r="B2399" i="1"/>
  <c r="C2399" i="1" s="1"/>
  <c r="B1796" i="1"/>
  <c r="C1796" i="1" s="1"/>
  <c r="B164" i="1"/>
  <c r="C164" i="1" s="1"/>
  <c r="B2456" i="1"/>
  <c r="C2456" i="1" s="1"/>
  <c r="B2337" i="1"/>
  <c r="C2337" i="1" s="1"/>
  <c r="B2063" i="1"/>
  <c r="C2063" i="1" s="1"/>
  <c r="B1850" i="1"/>
  <c r="C1850" i="1" s="1"/>
  <c r="B2435" i="1"/>
  <c r="C2435" i="1" s="1"/>
  <c r="D2435" i="1" s="1"/>
  <c r="B2826" i="1"/>
  <c r="C2826" i="1" s="1"/>
  <c r="B503" i="1"/>
  <c r="C503" i="1" s="1"/>
  <c r="B1166" i="1"/>
  <c r="C1166" i="1" s="1"/>
  <c r="B984" i="1"/>
  <c r="C984" i="1" s="1"/>
  <c r="B1493" i="1"/>
  <c r="C1493" i="1" s="1"/>
  <c r="B2563" i="1"/>
  <c r="C2563" i="1" s="1"/>
  <c r="B502" i="1"/>
  <c r="C502" i="1" s="1"/>
  <c r="B71" i="1"/>
  <c r="C71" i="1" s="1"/>
  <c r="B807" i="1"/>
  <c r="C807" i="1" s="1"/>
  <c r="B2363" i="1"/>
  <c r="C2363" i="1" s="1"/>
  <c r="B20" i="1"/>
  <c r="C20" i="1" s="1"/>
  <c r="B1521" i="1"/>
  <c r="C1521" i="1" s="1"/>
  <c r="B1757" i="1"/>
  <c r="C1757" i="1" s="1"/>
  <c r="B538" i="1"/>
  <c r="C538" i="1" s="1"/>
  <c r="B1543" i="1"/>
  <c r="C1543" i="1" s="1"/>
  <c r="B2273" i="1"/>
  <c r="C2273" i="1" s="1"/>
  <c r="B1519" i="1"/>
  <c r="C1519" i="1" s="1"/>
  <c r="B2342" i="1"/>
  <c r="C2342" i="1" s="1"/>
  <c r="B2824" i="1"/>
  <c r="C2824" i="1" s="1"/>
  <c r="B971" i="1"/>
  <c r="C971" i="1" s="1"/>
  <c r="B1551" i="1"/>
  <c r="C1551" i="1" s="1"/>
  <c r="B530" i="1"/>
  <c r="C530" i="1" s="1"/>
  <c r="B2269" i="1"/>
  <c r="C2269" i="1" s="1"/>
  <c r="B483" i="1"/>
  <c r="C483" i="1" s="1"/>
  <c r="B1728" i="1"/>
  <c r="C1728" i="1" s="1"/>
  <c r="B1496" i="1"/>
  <c r="C1496" i="1" s="1"/>
  <c r="B2092" i="1"/>
  <c r="C2092" i="1" s="1"/>
  <c r="B1724" i="1"/>
  <c r="C1724" i="1" s="1"/>
  <c r="B2226" i="1"/>
  <c r="C2226" i="1" s="1"/>
  <c r="B1048" i="1"/>
  <c r="C1048" i="1" s="1"/>
  <c r="B1322" i="1"/>
  <c r="C1322" i="1" s="1"/>
  <c r="B218" i="1"/>
  <c r="C218" i="1" s="1"/>
  <c r="B1461" i="1"/>
  <c r="C1461" i="1" s="1"/>
  <c r="B1658" i="1"/>
  <c r="C1658" i="1" s="1"/>
  <c r="B1252" i="1"/>
  <c r="C1252" i="1" s="1"/>
  <c r="B664" i="1"/>
  <c r="C664" i="1" s="1"/>
  <c r="B1848" i="1"/>
  <c r="C1848" i="1" s="1"/>
  <c r="B1970" i="1"/>
  <c r="C1970" i="1" s="1"/>
  <c r="B544" i="1"/>
  <c r="C544" i="1" s="1"/>
  <c r="B851" i="1"/>
  <c r="C851" i="1" s="1"/>
  <c r="B916" i="1"/>
  <c r="C916" i="1" s="1"/>
  <c r="B1828" i="1"/>
  <c r="C1828" i="1" s="1"/>
  <c r="B792" i="1"/>
  <c r="C792" i="1" s="1"/>
  <c r="B2367" i="1"/>
  <c r="C2367" i="1" s="1"/>
  <c r="B185" i="1"/>
  <c r="C185" i="1" s="1"/>
  <c r="B256" i="1"/>
  <c r="C256" i="1" s="1"/>
  <c r="B1944" i="1"/>
  <c r="C1944" i="1" s="1"/>
  <c r="B2937" i="1"/>
  <c r="C2937" i="1" s="1"/>
  <c r="B2568" i="1"/>
  <c r="C2568" i="1" s="1"/>
  <c r="B1336" i="1"/>
  <c r="C1336" i="1" s="1"/>
  <c r="B237" i="1"/>
  <c r="C237" i="1" s="1"/>
  <c r="B2725" i="1"/>
  <c r="C2725" i="1" s="1"/>
  <c r="B2302" i="1"/>
  <c r="C2302" i="1" s="1"/>
  <c r="B1808" i="1"/>
  <c r="C1808" i="1" s="1"/>
  <c r="B586" i="1"/>
  <c r="C586" i="1" s="1"/>
  <c r="B474" i="1"/>
  <c r="C474" i="1" s="1"/>
  <c r="B2023" i="1"/>
  <c r="C2023" i="1" s="1"/>
  <c r="B912" i="1"/>
  <c r="C912" i="1" s="1"/>
  <c r="B23" i="1"/>
  <c r="C23" i="1" s="1"/>
  <c r="B1693" i="1"/>
  <c r="C1693" i="1" s="1"/>
  <c r="B2617" i="1"/>
  <c r="C2617" i="1" s="1"/>
  <c r="B2749" i="1"/>
  <c r="C2749" i="1" s="1"/>
  <c r="B2628" i="1"/>
  <c r="C2628" i="1" s="1"/>
  <c r="B1485" i="1"/>
  <c r="C1485" i="1" s="1"/>
  <c r="B278" i="1"/>
  <c r="C278" i="1" s="1"/>
  <c r="B1334" i="1"/>
  <c r="C1334" i="1" s="1"/>
  <c r="B760" i="1"/>
  <c r="C760" i="1" s="1"/>
  <c r="B1220" i="1"/>
  <c r="C1220" i="1" s="1"/>
  <c r="B1357" i="1"/>
  <c r="C1357" i="1" s="1"/>
  <c r="B391" i="1"/>
  <c r="C391" i="1" s="1"/>
  <c r="B2218" i="1"/>
  <c r="C2218" i="1" s="1"/>
  <c r="B1705" i="1"/>
  <c r="C1705" i="1" s="1"/>
  <c r="B2136" i="1"/>
  <c r="C2136" i="1" s="1"/>
  <c r="B1073" i="1"/>
  <c r="C1073" i="1" s="1"/>
  <c r="B404" i="1"/>
  <c r="C404" i="1" s="1"/>
  <c r="B2533" i="1"/>
  <c r="C2533" i="1" s="1"/>
  <c r="B1539" i="1"/>
  <c r="C1539" i="1" s="1"/>
  <c r="B293" i="1"/>
  <c r="C293" i="1" s="1"/>
  <c r="B769" i="1"/>
  <c r="C769" i="1" s="1"/>
  <c r="B934" i="1"/>
  <c r="C934" i="1" s="1"/>
  <c r="B802" i="1"/>
  <c r="C802" i="1" s="1"/>
  <c r="B1425" i="1"/>
  <c r="C1425" i="1" s="1"/>
  <c r="B2187" i="1"/>
  <c r="C2187" i="1" s="1"/>
  <c r="B2807" i="1"/>
  <c r="C2807" i="1" s="1"/>
  <c r="B2709" i="1"/>
  <c r="C2709" i="1" s="1"/>
  <c r="B2816" i="1"/>
  <c r="C2816" i="1" s="1"/>
  <c r="B2448" i="1"/>
  <c r="C2448" i="1" s="1"/>
  <c r="B2576" i="1"/>
  <c r="C2576" i="1" s="1"/>
  <c r="B168" i="1"/>
  <c r="C168" i="1" s="1"/>
  <c r="B828" i="1"/>
  <c r="C828" i="1" s="1"/>
  <c r="B2948" i="1"/>
  <c r="C2948" i="1" s="1"/>
  <c r="B840" i="1"/>
  <c r="C840" i="1" s="1"/>
  <c r="B2702" i="1"/>
  <c r="C2702" i="1" s="1"/>
  <c r="B745" i="1"/>
  <c r="C745" i="1" s="1"/>
  <c r="B1021" i="1"/>
  <c r="C1021" i="1" s="1"/>
  <c r="B601" i="1"/>
  <c r="C601" i="1" s="1"/>
  <c r="B1716" i="1"/>
  <c r="C1716" i="1" s="1"/>
  <c r="B2308" i="1"/>
  <c r="C2308" i="1" s="1"/>
  <c r="B2561" i="1"/>
  <c r="C2561" i="1" s="1"/>
  <c r="B2147" i="1"/>
  <c r="C2147" i="1" s="1"/>
  <c r="B1876" i="1"/>
  <c r="C1876" i="1" s="1"/>
  <c r="B2234" i="1"/>
  <c r="C2234" i="1" s="1"/>
  <c r="B60" i="1"/>
  <c r="C60" i="1" s="1"/>
  <c r="D60" i="1" s="1"/>
  <c r="B1314" i="1"/>
  <c r="C1314" i="1" s="1"/>
  <c r="B1292" i="1"/>
  <c r="C1292" i="1" s="1"/>
  <c r="B913" i="1"/>
  <c r="C913" i="1" s="1"/>
  <c r="D913" i="1" s="1"/>
  <c r="B2789" i="1"/>
  <c r="C2789" i="1" s="1"/>
  <c r="D2789" i="1" s="1"/>
  <c r="B609" i="1"/>
  <c r="C609" i="1" s="1"/>
  <c r="B351" i="1"/>
  <c r="C351" i="1" s="1"/>
  <c r="B1886" i="1"/>
  <c r="C1886" i="1" s="1"/>
  <c r="B2737" i="1"/>
  <c r="C2737" i="1" s="1"/>
  <c r="B1766" i="1"/>
  <c r="C1766" i="1" s="1"/>
  <c r="B182" i="1"/>
  <c r="C182" i="1" s="1"/>
  <c r="B266" i="1"/>
  <c r="C266" i="1" s="1"/>
  <c r="B1464" i="1"/>
  <c r="C1464" i="1" s="1"/>
  <c r="B2530" i="1"/>
  <c r="C2530" i="1" s="1"/>
  <c r="B2149" i="1"/>
  <c r="C2149" i="1" s="1"/>
  <c r="D2149" i="1" s="1"/>
  <c r="B1992" i="1"/>
  <c r="C1992" i="1" s="1"/>
  <c r="B2495" i="1"/>
  <c r="C2495" i="1" s="1"/>
  <c r="B2121" i="1"/>
  <c r="C2121" i="1" s="1"/>
  <c r="B413" i="1"/>
  <c r="C413" i="1" s="1"/>
  <c r="B2990" i="1"/>
  <c r="C2990" i="1" s="1"/>
  <c r="B2792" i="1"/>
  <c r="C2792" i="1" s="1"/>
  <c r="B54" i="1"/>
  <c r="C54" i="1" s="1"/>
  <c r="B2517" i="1"/>
  <c r="C2517" i="1" s="1"/>
  <c r="B2975" i="1"/>
  <c r="C2975" i="1" s="1"/>
  <c r="B2359" i="1"/>
  <c r="C2359" i="1" s="1"/>
  <c r="B1931" i="1"/>
  <c r="C1931" i="1" s="1"/>
  <c r="B2358" i="1"/>
  <c r="C2358" i="1" s="1"/>
  <c r="B2521" i="1"/>
  <c r="C2521" i="1" s="1"/>
  <c r="B2773" i="1"/>
  <c r="C2773" i="1" s="1"/>
  <c r="B1966" i="1"/>
  <c r="C1966" i="1" s="1"/>
  <c r="B2623" i="1"/>
  <c r="C2623" i="1" s="1"/>
  <c r="B377" i="1"/>
  <c r="C377" i="1" s="1"/>
  <c r="B1409" i="1"/>
  <c r="C1409" i="1" s="1"/>
  <c r="B652" i="1"/>
  <c r="C652" i="1" s="1"/>
  <c r="B1680" i="1"/>
  <c r="C1680" i="1" s="1"/>
  <c r="B546" i="1"/>
  <c r="C546" i="1" s="1"/>
  <c r="B1692" i="1"/>
  <c r="C1692" i="1" s="1"/>
  <c r="B2010" i="1"/>
  <c r="C2010" i="1" s="1"/>
  <c r="B2290" i="1"/>
  <c r="C2290" i="1" s="1"/>
  <c r="B2499" i="1"/>
  <c r="C2499" i="1" s="1"/>
  <c r="B899" i="1"/>
  <c r="C899" i="1" s="1"/>
  <c r="B2343" i="1"/>
  <c r="C2343" i="1" s="1"/>
  <c r="B630" i="1"/>
  <c r="C630" i="1" s="1"/>
  <c r="B1628" i="1"/>
  <c r="C1628" i="1" s="1"/>
  <c r="B709" i="1"/>
  <c r="C709" i="1" s="1"/>
  <c r="B2636" i="1"/>
  <c r="C2636" i="1" s="1"/>
  <c r="B2887" i="1"/>
  <c r="C2887" i="1" s="1"/>
  <c r="B2882" i="1"/>
  <c r="C2882" i="1" s="1"/>
  <c r="B489" i="1"/>
  <c r="C489" i="1" s="1"/>
  <c r="B2518" i="1"/>
  <c r="C2518" i="1" s="1"/>
  <c r="B1443" i="1"/>
  <c r="C1443" i="1" s="1"/>
  <c r="B1741" i="1"/>
  <c r="C1741" i="1" s="1"/>
  <c r="B1287" i="1"/>
  <c r="C1287" i="1" s="1"/>
  <c r="B2982" i="1"/>
  <c r="C2982" i="1" s="1"/>
  <c r="B2037" i="1"/>
  <c r="C2037" i="1" s="1"/>
  <c r="B2535" i="1"/>
  <c r="C2535" i="1" s="1"/>
  <c r="B2784" i="1"/>
  <c r="C2784" i="1" s="1"/>
  <c r="B511" i="1"/>
  <c r="C511" i="1" s="1"/>
  <c r="B495" i="1"/>
  <c r="C495" i="1" s="1"/>
  <c r="B717" i="1"/>
  <c r="C717" i="1" s="1"/>
  <c r="B1996" i="1"/>
  <c r="C1996" i="1" s="1"/>
  <c r="B107" i="1"/>
  <c r="C107" i="1" s="1"/>
  <c r="B1522" i="1"/>
  <c r="C1522" i="1" s="1"/>
  <c r="B299" i="1"/>
  <c r="C299" i="1" s="1"/>
  <c r="B2736" i="1"/>
  <c r="C2736" i="1" s="1"/>
  <c r="B465" i="1"/>
  <c r="C465" i="1" s="1"/>
  <c r="B2516" i="1"/>
  <c r="C2516" i="1" s="1"/>
  <c r="B556" i="1"/>
  <c r="C556" i="1" s="1"/>
  <c r="B1160" i="1"/>
  <c r="C1160" i="1" s="1"/>
  <c r="B1729" i="1"/>
  <c r="C1729" i="1" s="1"/>
  <c r="B1844" i="1"/>
  <c r="C1844" i="1" s="1"/>
  <c r="B726" i="1"/>
  <c r="C726" i="1" s="1"/>
  <c r="B2729" i="1"/>
  <c r="C2729" i="1" s="1"/>
  <c r="B158" i="1"/>
  <c r="C158" i="1" s="1"/>
  <c r="B1615" i="1"/>
  <c r="C1615" i="1" s="1"/>
  <c r="B2520" i="1"/>
  <c r="C2520" i="1" s="1"/>
  <c r="B740" i="1"/>
  <c r="C740" i="1" s="1"/>
  <c r="B989" i="1"/>
  <c r="C989" i="1" s="1"/>
  <c r="B2006" i="1"/>
  <c r="C2006" i="1" s="1"/>
  <c r="B742" i="1"/>
  <c r="C742" i="1" s="1"/>
  <c r="B2759" i="1"/>
  <c r="C2759" i="1" s="1"/>
  <c r="B1230" i="1"/>
  <c r="C1230" i="1" s="1"/>
  <c r="B1087" i="1"/>
  <c r="C1087" i="1" s="1"/>
  <c r="B2896" i="1"/>
  <c r="C2896" i="1" s="1"/>
  <c r="B931" i="1"/>
  <c r="C931" i="1" s="1"/>
  <c r="B447" i="1"/>
  <c r="C447" i="1" s="1"/>
  <c r="B2855" i="1"/>
  <c r="C2855" i="1" s="1"/>
  <c r="B160" i="1"/>
  <c r="C160" i="1" s="1"/>
  <c r="B1862" i="1"/>
  <c r="C1862" i="1" s="1"/>
  <c r="B902" i="1"/>
  <c r="C902" i="1" s="1"/>
  <c r="B2303" i="1"/>
  <c r="C2303" i="1" s="1"/>
  <c r="B135" i="1"/>
  <c r="C135" i="1" s="1"/>
  <c r="B736" i="1"/>
  <c r="C736" i="1" s="1"/>
  <c r="B2758" i="1"/>
  <c r="C2758" i="1" s="1"/>
  <c r="B2294" i="1"/>
  <c r="C2294" i="1" s="1"/>
  <c r="B932" i="1"/>
  <c r="C932" i="1" s="1"/>
  <c r="B48" i="1"/>
  <c r="C48" i="1" s="1"/>
  <c r="B2319" i="1"/>
  <c r="C2319" i="1" s="1"/>
  <c r="B2279" i="1"/>
  <c r="C2279" i="1" s="1"/>
  <c r="B111" i="1"/>
  <c r="C111" i="1" s="1"/>
  <c r="B2051" i="1"/>
  <c r="C2051" i="1" s="1"/>
  <c r="B654" i="1"/>
  <c r="C654" i="1" s="1"/>
  <c r="B1822" i="1"/>
  <c r="C1822" i="1" s="1"/>
  <c r="B1721" i="1"/>
  <c r="C1721" i="1" s="1"/>
  <c r="B770" i="1"/>
  <c r="C770" i="1" s="1"/>
  <c r="D770" i="1" s="1"/>
  <c r="B613" i="1"/>
  <c r="C613" i="1" s="1"/>
  <c r="B2624" i="1"/>
  <c r="C2624" i="1" s="1"/>
  <c r="B1830" i="1"/>
  <c r="C1830" i="1" s="1"/>
  <c r="B965" i="1"/>
  <c r="C965" i="1" s="1"/>
  <c r="B1212" i="1"/>
  <c r="C1212" i="1" s="1"/>
  <c r="B1884" i="1"/>
  <c r="C1884" i="1" s="1"/>
  <c r="B12" i="1"/>
  <c r="C12" i="1" s="1"/>
  <c r="B346" i="1"/>
  <c r="C346" i="1" s="1"/>
  <c r="B2177" i="1"/>
  <c r="C2177" i="1" s="1"/>
  <c r="B1501" i="1"/>
  <c r="C1501" i="1" s="1"/>
  <c r="B1497" i="1"/>
  <c r="C1497" i="1" s="1"/>
  <c r="D1497" i="1" s="1"/>
  <c r="B1387" i="1"/>
  <c r="C1387" i="1" s="1"/>
  <c r="B723" i="1"/>
  <c r="C723" i="1" s="1"/>
  <c r="B757" i="1"/>
  <c r="C757" i="1" s="1"/>
  <c r="B2912" i="1"/>
  <c r="C2912" i="1" s="1"/>
  <c r="B1542" i="1"/>
  <c r="C1542" i="1" s="1"/>
  <c r="B509" i="1"/>
  <c r="C509" i="1" s="1"/>
  <c r="B755" i="1"/>
  <c r="C755" i="1" s="1"/>
  <c r="B1385" i="1"/>
  <c r="C1385" i="1" s="1"/>
  <c r="B184" i="1"/>
  <c r="C184" i="1" s="1"/>
  <c r="B540" i="1"/>
  <c r="C540" i="1" s="1"/>
  <c r="D541" i="1" s="1"/>
  <c r="B825" i="1"/>
  <c r="C825" i="1" s="1"/>
  <c r="B1465" i="1"/>
  <c r="C1465" i="1" s="1"/>
  <c r="B525" i="1"/>
  <c r="C525" i="1" s="1"/>
  <c r="B2810" i="1"/>
  <c r="C2810" i="1" s="1"/>
  <c r="B2927" i="1"/>
  <c r="C2927" i="1" s="1"/>
  <c r="B402" i="1"/>
  <c r="C402" i="1" s="1"/>
  <c r="B2965" i="1"/>
  <c r="C2965" i="1" s="1"/>
  <c r="B2537" i="1"/>
  <c r="C2537" i="1" s="1"/>
  <c r="B2368" i="1"/>
  <c r="C2368" i="1" s="1"/>
  <c r="B2733" i="1"/>
  <c r="C2733" i="1" s="1"/>
  <c r="B18" i="1"/>
  <c r="C18" i="1" s="1"/>
  <c r="B1198" i="1"/>
  <c r="C1198" i="1" s="1"/>
  <c r="B424" i="1"/>
  <c r="C424" i="1" s="1"/>
  <c r="B804" i="1"/>
  <c r="C804" i="1" s="1"/>
  <c r="B1541" i="1"/>
  <c r="C1541" i="1" s="1"/>
  <c r="B2264" i="1"/>
  <c r="C2264" i="1" s="1"/>
  <c r="B2828" i="1"/>
  <c r="C2828" i="1" s="1"/>
  <c r="B521" i="1"/>
  <c r="C521" i="1" s="1"/>
  <c r="B2008" i="1"/>
  <c r="C2008" i="1" s="1"/>
  <c r="B1595" i="1"/>
  <c r="C1595" i="1" s="1"/>
  <c r="B2643" i="1"/>
  <c r="C2643" i="1" s="1"/>
  <c r="B2541" i="1"/>
  <c r="C2541" i="1" s="1"/>
  <c r="B1199" i="1"/>
  <c r="C1199" i="1" s="1"/>
  <c r="B996" i="1"/>
  <c r="C996" i="1" s="1"/>
  <c r="B1914" i="1"/>
  <c r="C1914" i="1" s="1"/>
  <c r="B2393" i="1"/>
  <c r="C2393" i="1" s="1"/>
  <c r="B1069" i="1"/>
  <c r="C1069" i="1" s="1"/>
  <c r="B2953" i="1"/>
  <c r="C2953" i="1" s="1"/>
  <c r="B322" i="1"/>
  <c r="C322" i="1" s="1"/>
  <c r="B767" i="1"/>
  <c r="C767" i="1" s="1"/>
  <c r="B515" i="1"/>
  <c r="C515" i="1" s="1"/>
  <c r="B1759" i="1"/>
  <c r="C1759" i="1" s="1"/>
  <c r="B2333" i="1"/>
  <c r="C2333" i="1" s="1"/>
  <c r="B675" i="1"/>
  <c r="C675" i="1" s="1"/>
  <c r="B486" i="1"/>
  <c r="C486" i="1" s="1"/>
  <c r="B1068" i="1"/>
  <c r="C1068" i="1" s="1"/>
  <c r="B2068" i="1"/>
  <c r="C2068" i="1" s="1"/>
  <c r="B264" i="1"/>
  <c r="C264" i="1" s="1"/>
  <c r="B834" i="1"/>
  <c r="C834" i="1" s="1"/>
  <c r="B144" i="1"/>
  <c r="C144" i="1" s="1"/>
  <c r="B458" i="1"/>
  <c r="C458" i="1" s="1"/>
  <c r="B1893" i="1"/>
  <c r="C1893" i="1" s="1"/>
  <c r="B1602" i="1"/>
  <c r="C1602" i="1" s="1"/>
  <c r="B2013" i="1"/>
  <c r="C2013" i="1" s="1"/>
  <c r="B2522" i="1"/>
  <c r="C2522" i="1" s="1"/>
  <c r="B1662" i="1"/>
  <c r="C1662" i="1" s="1"/>
  <c r="B2093" i="1"/>
  <c r="C2093" i="1" s="1"/>
  <c r="D2093" i="1" s="1"/>
  <c r="B2249" i="1"/>
  <c r="C2249" i="1" s="1"/>
  <c r="B612" i="1"/>
  <c r="C612" i="1" s="1"/>
  <c r="B2842" i="1"/>
  <c r="C2842" i="1" s="1"/>
  <c r="B1348" i="1"/>
  <c r="C1348" i="1" s="1"/>
  <c r="B1282" i="1"/>
  <c r="C1282" i="1" s="1"/>
  <c r="B286" i="1"/>
  <c r="C286" i="1" s="1"/>
  <c r="B1807" i="1"/>
  <c r="C1807" i="1" s="1"/>
  <c r="B561" i="1"/>
  <c r="C561" i="1" s="1"/>
  <c r="B2973" i="1"/>
  <c r="C2973" i="1" s="1"/>
  <c r="B1150" i="1"/>
  <c r="C1150" i="1" s="1"/>
  <c r="B61" i="1"/>
  <c r="C61" i="1" s="1"/>
  <c r="B388" i="1"/>
  <c r="C388" i="1" s="1"/>
  <c r="B688" i="1"/>
  <c r="C688" i="1" s="1"/>
  <c r="B229" i="1"/>
  <c r="C229" i="1" s="1"/>
  <c r="B427" i="1"/>
  <c r="C427" i="1" s="1"/>
  <c r="B357" i="1"/>
  <c r="C357" i="1" s="1"/>
  <c r="B16" i="1"/>
  <c r="C16" i="1" s="1"/>
  <c r="B2041" i="1"/>
  <c r="C2041" i="1" s="1"/>
  <c r="B1938" i="1"/>
  <c r="C1938" i="1" s="1"/>
  <c r="B1333" i="1"/>
  <c r="C1333" i="1" s="1"/>
  <c r="B153" i="1"/>
  <c r="C153" i="1" s="1"/>
  <c r="B2277" i="1"/>
  <c r="C2277" i="1" s="1"/>
  <c r="B1889" i="1"/>
  <c r="C1889" i="1" s="1"/>
  <c r="B2189" i="1"/>
  <c r="C2189" i="1" s="1"/>
  <c r="D2189" i="1" s="1"/>
  <c r="B2243" i="1"/>
  <c r="C2243" i="1" s="1"/>
  <c r="B42" i="1"/>
  <c r="C42" i="1" s="1"/>
  <c r="B82" i="1"/>
  <c r="C82" i="1" s="1"/>
  <c r="B2734" i="1"/>
  <c r="C2734" i="1" s="1"/>
  <c r="B2118" i="1"/>
  <c r="C2118" i="1" s="1"/>
  <c r="B1993" i="1"/>
  <c r="C1993" i="1" s="1"/>
  <c r="B1327" i="1"/>
  <c r="C1327" i="1" s="1"/>
  <c r="B1075" i="1"/>
  <c r="C1075" i="1" s="1"/>
  <c r="B2800" i="1"/>
  <c r="C2800" i="1" s="1"/>
  <c r="B1727" i="1"/>
  <c r="C1727" i="1" s="1"/>
  <c r="B2377" i="1"/>
  <c r="C2377" i="1" s="1"/>
  <c r="B67" i="1"/>
  <c r="C67" i="1" s="1"/>
  <c r="B1174" i="1"/>
  <c r="C1174" i="1" s="1"/>
  <c r="B2569" i="1"/>
  <c r="C2569" i="1" s="1"/>
  <c r="D2569" i="1" s="1"/>
  <c r="B2822" i="1"/>
  <c r="C2822" i="1" s="1"/>
  <c r="B1272" i="1"/>
  <c r="C1272" i="1" s="1"/>
  <c r="B2832" i="1"/>
  <c r="C2832" i="1" s="1"/>
  <c r="B1604" i="1"/>
  <c r="C1604" i="1" s="1"/>
  <c r="B1428" i="1"/>
  <c r="C1428" i="1" s="1"/>
  <c r="B63" i="1"/>
  <c r="C63" i="1" s="1"/>
  <c r="B1660" i="1"/>
  <c r="C1660" i="1" s="1"/>
  <c r="B2818" i="1"/>
  <c r="C2818" i="1" s="1"/>
  <c r="B1880" i="1"/>
  <c r="C1880" i="1" s="1"/>
  <c r="B1192" i="1"/>
  <c r="C1192" i="1" s="1"/>
  <c r="B1688" i="1"/>
  <c r="C1688" i="1" s="1"/>
  <c r="B398" i="1"/>
  <c r="C398" i="1" s="1"/>
  <c r="B305" i="1"/>
  <c r="C305" i="1" s="1"/>
  <c r="B1773" i="1"/>
  <c r="C1773" i="1" s="1"/>
  <c r="B1977" i="1"/>
  <c r="C1977" i="1" s="1"/>
  <c r="B2699" i="1"/>
  <c r="C2699" i="1" s="1"/>
  <c r="B1637" i="1"/>
  <c r="C1637" i="1" s="1"/>
  <c r="B1760" i="1"/>
  <c r="C1760" i="1" s="1"/>
  <c r="B209" i="1"/>
  <c r="C209" i="1" s="1"/>
  <c r="B334" i="1"/>
  <c r="C334" i="1" s="1"/>
  <c r="B716" i="1"/>
  <c r="C716" i="1" s="1"/>
  <c r="B2944" i="1"/>
  <c r="C2944" i="1" s="1"/>
  <c r="D2944" i="1" s="1"/>
  <c r="B1306" i="1"/>
  <c r="C1306" i="1" s="1"/>
  <c r="B1475" i="1"/>
  <c r="C1475" i="1" s="1"/>
  <c r="B1722" i="1"/>
  <c r="C1722" i="1" s="1"/>
  <c r="B2291" i="1"/>
  <c r="C2291" i="1" s="1"/>
  <c r="B1984" i="1"/>
  <c r="C1984" i="1" s="1"/>
  <c r="B1002" i="1"/>
  <c r="C1002" i="1" s="1"/>
  <c r="B65" i="1"/>
  <c r="C65" i="1" s="1"/>
  <c r="B2477" i="1"/>
  <c r="C2477" i="1" s="1"/>
  <c r="B1838" i="1"/>
  <c r="C1838" i="1" s="1"/>
  <c r="B2379" i="1"/>
  <c r="C2379" i="1" s="1"/>
  <c r="B2350" i="1"/>
  <c r="C2350" i="1" s="1"/>
  <c r="B2451" i="1"/>
  <c r="C2451" i="1" s="1"/>
  <c r="B1625" i="1"/>
  <c r="C1625" i="1" s="1"/>
  <c r="B2993" i="1"/>
  <c r="C2993" i="1" s="1"/>
  <c r="B2307" i="1"/>
  <c r="C2307" i="1" s="1"/>
  <c r="B1698" i="1"/>
  <c r="C1698" i="1" s="1"/>
  <c r="B2059" i="1"/>
  <c r="C2059" i="1" s="1"/>
  <c r="B159" i="1"/>
  <c r="C159" i="1" s="1"/>
  <c r="B797" i="1"/>
  <c r="C797" i="1" s="1"/>
  <c r="B2646" i="1"/>
  <c r="C2646" i="1" s="1"/>
  <c r="B2162" i="1"/>
  <c r="C2162" i="1" s="1"/>
  <c r="B2777" i="1"/>
  <c r="C2777" i="1" s="1"/>
  <c r="B1259" i="1"/>
  <c r="C1259" i="1" s="1"/>
  <c r="B1915" i="1"/>
  <c r="C1915" i="1" s="1"/>
  <c r="B689" i="1"/>
  <c r="C689" i="1" s="1"/>
  <c r="D689" i="1" s="1"/>
  <c r="B921" i="1"/>
  <c r="C921" i="1" s="1"/>
  <c r="B1677" i="1"/>
  <c r="C1677" i="1" s="1"/>
  <c r="B1225" i="1"/>
  <c r="C1225" i="1" s="1"/>
  <c r="B2894" i="1"/>
  <c r="C2894" i="1" s="1"/>
  <c r="B2346" i="1"/>
  <c r="C2346" i="1" s="1"/>
  <c r="B687" i="1"/>
  <c r="C687" i="1" s="1"/>
  <c r="B2577" i="1"/>
  <c r="C2577" i="1" s="1"/>
  <c r="B1958" i="1"/>
  <c r="C1958" i="1" s="1"/>
  <c r="B2760" i="1"/>
  <c r="C2760" i="1" s="1"/>
  <c r="B1158" i="1"/>
  <c r="C1158" i="1" s="1"/>
  <c r="B2719" i="1"/>
  <c r="C2719" i="1" s="1"/>
  <c r="B1614" i="1"/>
  <c r="C1614" i="1" s="1"/>
  <c r="B937" i="1"/>
  <c r="C937" i="1" s="1"/>
  <c r="B129" i="1"/>
  <c r="C129" i="1" s="1"/>
  <c r="B1650" i="1"/>
  <c r="C1650" i="1" s="1"/>
  <c r="B611" i="1"/>
  <c r="C611" i="1" s="1"/>
  <c r="B1691" i="1"/>
  <c r="C1691" i="1" s="1"/>
  <c r="B2934" i="1"/>
  <c r="C2934" i="1" s="1"/>
  <c r="B485" i="1"/>
  <c r="C485" i="1" s="1"/>
  <c r="B406" i="1"/>
  <c r="C406" i="1" s="1"/>
  <c r="B2770" i="1"/>
  <c r="C2770" i="1" s="1"/>
  <c r="B1190" i="1"/>
  <c r="C1190" i="1" s="1"/>
  <c r="B2265" i="1"/>
  <c r="C2265" i="1" s="1"/>
  <c r="B1291" i="1"/>
  <c r="C1291" i="1" s="1"/>
  <c r="B2655" i="1"/>
  <c r="C2655" i="1" s="1"/>
  <c r="B1249" i="1"/>
  <c r="C1249" i="1" s="1"/>
  <c r="B1549" i="1"/>
  <c r="C1549" i="1" s="1"/>
  <c r="B2951" i="1"/>
  <c r="C2951" i="1" s="1"/>
  <c r="B1133" i="1"/>
  <c r="C1133" i="1" s="1"/>
  <c r="B806" i="1"/>
  <c r="C806" i="1" s="1"/>
  <c r="B1511" i="1"/>
  <c r="C1511" i="1" s="1"/>
  <c r="B939" i="1"/>
  <c r="C939" i="1" s="1"/>
  <c r="B2960" i="1"/>
  <c r="C2960" i="1" s="1"/>
  <c r="B487" i="1"/>
  <c r="C487" i="1" s="1"/>
  <c r="B1513" i="1"/>
  <c r="C1513" i="1" s="1"/>
  <c r="B1603" i="1"/>
  <c r="C1603" i="1" s="1"/>
  <c r="B980" i="1"/>
  <c r="C980" i="1" s="1"/>
  <c r="B2454" i="1"/>
  <c r="C2454" i="1" s="1"/>
  <c r="B1365" i="1"/>
  <c r="C1365" i="1" s="1"/>
  <c r="B1040" i="1"/>
  <c r="C1040" i="1" s="1"/>
  <c r="B1631" i="1"/>
  <c r="C1631" i="1" s="1"/>
  <c r="B982" i="1"/>
  <c r="C982" i="1" s="1"/>
  <c r="B1754" i="1"/>
  <c r="C1754" i="1" s="1"/>
  <c r="B2480" i="1"/>
  <c r="C2480" i="1" s="1"/>
  <c r="B374" i="1"/>
  <c r="C374" i="1" s="1"/>
  <c r="B2892" i="1"/>
  <c r="C2892" i="1" s="1"/>
  <c r="B1747" i="1"/>
  <c r="C1747" i="1" s="1"/>
  <c r="B258" i="1"/>
  <c r="C258" i="1" s="1"/>
  <c r="B332" i="1"/>
  <c r="C332" i="1" s="1"/>
  <c r="B123" i="1"/>
  <c r="C123" i="1" s="1"/>
  <c r="B1917" i="1"/>
  <c r="C1917" i="1" s="1"/>
  <c r="B1438" i="1"/>
  <c r="C1438" i="1" s="1"/>
  <c r="B765" i="1"/>
  <c r="C765" i="1" s="1"/>
  <c r="B1467" i="1"/>
  <c r="C1467" i="1" s="1"/>
  <c r="B2267" i="1"/>
  <c r="C2267" i="1" s="1"/>
  <c r="B2841" i="1"/>
  <c r="C2841" i="1" s="1"/>
  <c r="B827" i="1"/>
  <c r="C827" i="1" s="1"/>
  <c r="B1233" i="1"/>
  <c r="C1233" i="1" s="1"/>
  <c r="B2637" i="1"/>
  <c r="C2637" i="1" s="1"/>
  <c r="B1372" i="1"/>
  <c r="C1372" i="1" s="1"/>
  <c r="B1868" i="1"/>
  <c r="C1868" i="1" s="1"/>
  <c r="B2634" i="1"/>
  <c r="C2634" i="1" s="1"/>
  <c r="B975" i="1"/>
  <c r="C975" i="1" s="1"/>
  <c r="B274" i="1"/>
  <c r="C274" i="1" s="1"/>
  <c r="B2228" i="1"/>
  <c r="C2228" i="1" s="1"/>
  <c r="B2931" i="1"/>
  <c r="C2931" i="1" s="1"/>
  <c r="B1490" i="1"/>
  <c r="C1490" i="1" s="1"/>
  <c r="B1135" i="1"/>
  <c r="C1135" i="1" s="1"/>
  <c r="B2548" i="1"/>
  <c r="C2548" i="1" s="1"/>
  <c r="B527" i="1"/>
  <c r="C527" i="1" s="1"/>
  <c r="B666" i="1"/>
  <c r="C666" i="1" s="1"/>
  <c r="B2404" i="1"/>
  <c r="C2404" i="1" s="1"/>
  <c r="B2555" i="1"/>
  <c r="C2555" i="1" s="1"/>
  <c r="B2501" i="1"/>
  <c r="C2501" i="1" s="1"/>
  <c r="B1421" i="1"/>
  <c r="C1421" i="1" s="1"/>
  <c r="B2128" i="1"/>
  <c r="C2128" i="1" s="1"/>
  <c r="B315" i="1"/>
  <c r="C315" i="1" s="1"/>
  <c r="B2053" i="1"/>
  <c r="C2053" i="1" s="1"/>
  <c r="B1420" i="1"/>
  <c r="C1420" i="1" s="1"/>
  <c r="B1951" i="1"/>
  <c r="C1951" i="1" s="1"/>
  <c r="B1899" i="1"/>
  <c r="C1899" i="1" s="1"/>
  <c r="B1842" i="1"/>
  <c r="C1842" i="1" s="1"/>
  <c r="B2799" i="1"/>
  <c r="C2799" i="1" s="1"/>
  <c r="B1347" i="1"/>
  <c r="C1347" i="1" s="1"/>
  <c r="B1031" i="1"/>
  <c r="C1031" i="1" s="1"/>
  <c r="B1065" i="1"/>
  <c r="C1065" i="1" s="1"/>
  <c r="B2483" i="1"/>
  <c r="C2483" i="1" s="1"/>
  <c r="B3006" i="1"/>
  <c r="C3006" i="1" s="1"/>
  <c r="B2920" i="1"/>
  <c r="C2920" i="1" s="1"/>
  <c r="B964" i="1"/>
  <c r="C964" i="1" s="1"/>
  <c r="B1596" i="1"/>
  <c r="C1596" i="1" s="1"/>
  <c r="B516" i="1"/>
  <c r="C516" i="1" s="1"/>
  <c r="B2354" i="1"/>
  <c r="C2354" i="1" s="1"/>
  <c r="B803" i="1"/>
  <c r="C803" i="1" s="1"/>
  <c r="B298" i="1"/>
  <c r="C298" i="1" s="1"/>
  <c r="B1221" i="1"/>
  <c r="C1221" i="1" s="1"/>
  <c r="B2491" i="1"/>
  <c r="C2491" i="1" s="1"/>
  <c r="B1555" i="1"/>
  <c r="C1555" i="1" s="1"/>
  <c r="B2525" i="1"/>
  <c r="C2525" i="1" s="1"/>
  <c r="B2371" i="1"/>
  <c r="C2371" i="1" s="1"/>
  <c r="B2017" i="1"/>
  <c r="C2017" i="1" s="1"/>
  <c r="B1856" i="1"/>
  <c r="C1856" i="1" s="1"/>
  <c r="B2224" i="1"/>
  <c r="C2224" i="1" s="1"/>
  <c r="B974" i="1"/>
  <c r="C974" i="1" s="1"/>
  <c r="B2091" i="1"/>
  <c r="C2091" i="1" s="1"/>
  <c r="B2612" i="1"/>
  <c r="C2612" i="1" s="1"/>
  <c r="B1097" i="1"/>
  <c r="C1097" i="1" s="1"/>
  <c r="B1617" i="1"/>
  <c r="C1617" i="1" s="1"/>
  <c r="B1256" i="1"/>
  <c r="C1256" i="1" s="1"/>
  <c r="B166" i="1"/>
  <c r="C166" i="1" s="1"/>
  <c r="B225" i="1"/>
  <c r="C225" i="1" s="1"/>
  <c r="B1981" i="1"/>
  <c r="C1981" i="1" s="1"/>
  <c r="B1972" i="1"/>
  <c r="C1972" i="1" s="1"/>
  <c r="B766" i="1"/>
  <c r="C766" i="1" s="1"/>
  <c r="B2817" i="1"/>
  <c r="C2817" i="1" s="1"/>
  <c r="B2115" i="1"/>
  <c r="C2115" i="1" s="1"/>
  <c r="B2708" i="1"/>
  <c r="C2708" i="1" s="1"/>
  <c r="B2619" i="1"/>
  <c r="C2619" i="1" s="1"/>
  <c r="B2505" i="1"/>
  <c r="C2505" i="1" s="1"/>
  <c r="B2574" i="1"/>
  <c r="C2574" i="1" s="1"/>
  <c r="B356" i="1"/>
  <c r="C356" i="1" s="1"/>
  <c r="B1187" i="1"/>
  <c r="C1187" i="1" s="1"/>
  <c r="B1674" i="1"/>
  <c r="C1674" i="1" s="1"/>
  <c r="B683" i="1"/>
  <c r="C683" i="1" s="1"/>
  <c r="B1293" i="1"/>
  <c r="C1293" i="1" s="1"/>
  <c r="B2415" i="1"/>
  <c r="C2415" i="1" s="1"/>
  <c r="B1223" i="1"/>
  <c r="C1223" i="1" s="1"/>
  <c r="B615" i="1"/>
  <c r="C615" i="1" s="1"/>
  <c r="B310" i="1"/>
  <c r="C310" i="1" s="1"/>
  <c r="B920" i="1"/>
  <c r="C920" i="1" s="1"/>
  <c r="B2479" i="1"/>
  <c r="C2479" i="1" s="1"/>
  <c r="B720" i="1"/>
  <c r="C720" i="1" s="1"/>
  <c r="B73" i="1"/>
  <c r="C73" i="1" s="1"/>
  <c r="B173" i="1"/>
  <c r="C173" i="1" s="1"/>
  <c r="B2580" i="1"/>
  <c r="C2580" i="1" s="1"/>
  <c r="B2955" i="1"/>
  <c r="C2955" i="1" s="1"/>
  <c r="B1509" i="1"/>
  <c r="C1509" i="1" s="1"/>
  <c r="B421" i="1"/>
  <c r="C421" i="1" s="1"/>
  <c r="B143" i="1"/>
  <c r="C143" i="1" s="1"/>
  <c r="B850" i="1"/>
  <c r="C850" i="1" s="1"/>
  <c r="B1339" i="1"/>
  <c r="C1339" i="1" s="1"/>
  <c r="B1317" i="1"/>
  <c r="C1317" i="1" s="1"/>
  <c r="B674" i="1"/>
  <c r="C674" i="1" s="1"/>
  <c r="B565" i="1"/>
  <c r="C565" i="1" s="1"/>
  <c r="B2424" i="1"/>
  <c r="C2424" i="1" s="1"/>
  <c r="B491" i="1"/>
  <c r="C491" i="1" s="1"/>
  <c r="B2908" i="1"/>
  <c r="C2908" i="1" s="1"/>
  <c r="B1035" i="1"/>
  <c r="C1035" i="1" s="1"/>
  <c r="B967" i="1"/>
  <c r="C967" i="1" s="1"/>
  <c r="B1376" i="1"/>
  <c r="C1376" i="1" s="1"/>
  <c r="B2473" i="1"/>
  <c r="C2473" i="1" s="1"/>
  <c r="B2259" i="1"/>
  <c r="C2259" i="1" s="1"/>
  <c r="B2812" i="1"/>
  <c r="C2812" i="1" s="1"/>
  <c r="B643" i="1"/>
  <c r="C643" i="1" s="1"/>
  <c r="B1785" i="1"/>
  <c r="C1785" i="1" s="1"/>
  <c r="B1241" i="1"/>
  <c r="C1241" i="1" s="1"/>
  <c r="B1672" i="1"/>
  <c r="C1672" i="1" s="1"/>
  <c r="B2603" i="1"/>
  <c r="C2603" i="1" s="1"/>
  <c r="B558" i="1"/>
  <c r="C558" i="1" s="1"/>
  <c r="B2802" i="1"/>
  <c r="C2802" i="1" s="1"/>
  <c r="D2803" i="1" s="1"/>
  <c r="B423" i="1"/>
  <c r="C423" i="1" s="1"/>
  <c r="B2458" i="1"/>
  <c r="C2458" i="1" s="1"/>
  <c r="B2452" i="1"/>
  <c r="C2452" i="1" s="1"/>
  <c r="D2452" i="1" s="1"/>
  <c r="B2289" i="1"/>
  <c r="C2289" i="1" s="1"/>
  <c r="B79" i="1"/>
  <c r="C79" i="1" s="1"/>
  <c r="B2255" i="1"/>
  <c r="C2255" i="1" s="1"/>
  <c r="B1708" i="1"/>
  <c r="C1708" i="1" s="1"/>
  <c r="B1433" i="1"/>
  <c r="C1433" i="1" s="1"/>
  <c r="B2029" i="1"/>
  <c r="C2029" i="1" s="1"/>
  <c r="B76" i="1"/>
  <c r="C76" i="1" s="1"/>
  <c r="B2738" i="1"/>
  <c r="C2738" i="1" s="1"/>
  <c r="B2312" i="1"/>
  <c r="C2312" i="1" s="1"/>
  <c r="B2830" i="1"/>
  <c r="C2830" i="1" s="1"/>
  <c r="B2971" i="1"/>
  <c r="C2971" i="1" s="1"/>
  <c r="B550" i="1"/>
  <c r="C550" i="1" s="1"/>
  <c r="B1063" i="1"/>
  <c r="C1063" i="1" s="1"/>
  <c r="B739" i="1"/>
  <c r="C739" i="1" s="1"/>
  <c r="B2933" i="1"/>
  <c r="C2933" i="1" s="1"/>
  <c r="B358" i="1"/>
  <c r="C358" i="1" s="1"/>
  <c r="D358" i="1" s="1"/>
  <c r="B2145" i="1"/>
  <c r="C2145" i="1" s="1"/>
  <c r="B361" i="1"/>
  <c r="C361" i="1" s="1"/>
  <c r="B2288" i="1"/>
  <c r="C2288" i="1" s="1"/>
  <c r="B1290" i="1"/>
  <c r="C1290" i="1" s="1"/>
  <c r="B2926" i="1"/>
  <c r="C2926" i="1" s="1"/>
  <c r="B1712" i="1"/>
  <c r="C1712" i="1" s="1"/>
  <c r="B1927" i="1"/>
  <c r="C1927" i="1" s="1"/>
  <c r="B419" i="1"/>
  <c r="C419" i="1" s="1"/>
  <c r="B389" i="1"/>
  <c r="C389" i="1" s="1"/>
  <c r="B2690" i="1"/>
  <c r="C2690" i="1" s="1"/>
  <c r="B2094" i="1"/>
  <c r="C2094" i="1" s="1"/>
  <c r="B1863" i="1"/>
  <c r="C1863" i="1" s="1"/>
  <c r="D1863" i="1" s="1"/>
  <c r="B1659" i="1"/>
  <c r="C1659" i="1" s="1"/>
  <c r="B1457" i="1"/>
  <c r="C1457" i="1" s="1"/>
  <c r="B2022" i="1"/>
  <c r="C2022" i="1" s="1"/>
  <c r="B2301" i="1"/>
  <c r="C2301" i="1" s="1"/>
  <c r="B633" i="1"/>
  <c r="C633" i="1" s="1"/>
  <c r="B2219" i="1"/>
  <c r="C2219" i="1" s="1"/>
  <c r="B1800" i="1"/>
  <c r="C1800" i="1" s="1"/>
  <c r="B372" i="1"/>
  <c r="C372" i="1" s="1"/>
  <c r="B2743" i="1"/>
  <c r="C2743" i="1" s="1"/>
  <c r="B1812" i="1"/>
  <c r="C1812" i="1" s="1"/>
  <c r="B2938" i="1"/>
  <c r="C2938" i="1" s="1"/>
  <c r="B1440" i="1"/>
  <c r="C1440" i="1" s="1"/>
  <c r="B181" i="1"/>
  <c r="C181" i="1" s="1"/>
  <c r="B2680" i="1"/>
  <c r="C2680" i="1" s="1"/>
  <c r="B1189" i="1"/>
  <c r="C1189" i="1" s="1"/>
  <c r="B2526" i="1"/>
  <c r="C2526" i="1" s="1"/>
  <c r="B329" i="1"/>
  <c r="C329" i="1" s="1"/>
  <c r="B2592" i="1"/>
  <c r="C2592" i="1" s="1"/>
  <c r="B1943" i="1"/>
  <c r="C1943" i="1" s="1"/>
  <c r="B512" i="1"/>
  <c r="C512" i="1" s="1"/>
  <c r="B1591" i="1"/>
  <c r="C1591" i="1" s="1"/>
  <c r="B2186" i="1"/>
  <c r="C2186" i="1" s="1"/>
  <c r="B2785" i="1"/>
  <c r="C2785" i="1" s="1"/>
  <c r="B1017" i="1"/>
  <c r="C1017" i="1" s="1"/>
  <c r="B670" i="1"/>
  <c r="C670" i="1" s="1"/>
  <c r="B679" i="1"/>
  <c r="C679" i="1" s="1"/>
  <c r="B771" i="1"/>
  <c r="C771" i="1" s="1"/>
  <c r="B1583" i="1"/>
  <c r="C1583" i="1" s="1"/>
  <c r="B127" i="1"/>
  <c r="C127" i="1" s="1"/>
  <c r="B1601" i="1"/>
  <c r="C1601" i="1" s="1"/>
  <c r="B2369" i="1"/>
  <c r="C2369" i="1" s="1"/>
  <c r="B1704" i="1"/>
  <c r="C1704" i="1" s="1"/>
  <c r="B833" i="1"/>
  <c r="C833" i="1" s="1"/>
  <c r="B2905" i="1"/>
  <c r="C2905" i="1" s="1"/>
  <c r="B2272" i="1"/>
  <c r="C2272" i="1" s="1"/>
  <c r="B90" i="1"/>
  <c r="C90" i="1" s="1"/>
  <c r="B876" i="1"/>
  <c r="C876" i="1" s="1"/>
  <c r="D877" i="1" s="1"/>
  <c r="B1448" i="1"/>
  <c r="C1448" i="1" s="1"/>
  <c r="B2391" i="1"/>
  <c r="C2391" i="1" s="1"/>
  <c r="B342" i="1"/>
  <c r="C342" i="1" s="1"/>
  <c r="B2441" i="1"/>
  <c r="C2441" i="1" s="1"/>
  <c r="B1185" i="1"/>
  <c r="C1185" i="1" s="1"/>
  <c r="B1047" i="1"/>
  <c r="C1047" i="1" s="1"/>
  <c r="B189" i="1"/>
  <c r="C189" i="1" s="1"/>
  <c r="D189" i="1" s="1"/>
  <c r="B1156" i="1"/>
  <c r="C1156" i="1" s="1"/>
  <c r="B121" i="1"/>
  <c r="C121" i="1" s="1"/>
  <c r="B1769" i="1"/>
  <c r="C1769" i="1" s="1"/>
  <c r="B2050" i="1"/>
  <c r="C2050" i="1" s="1"/>
  <c r="B2774" i="1"/>
  <c r="C2774" i="1" s="1"/>
  <c r="B2172" i="1"/>
  <c r="C2172" i="1" s="1"/>
  <c r="B2532" i="1"/>
  <c r="C2532" i="1" s="1"/>
  <c r="B1530" i="1"/>
  <c r="C1530" i="1" s="1"/>
  <c r="B619" i="1"/>
  <c r="C619" i="1" s="1"/>
  <c r="B2475" i="1"/>
  <c r="C2475" i="1" s="1"/>
  <c r="B428" i="1"/>
  <c r="C428" i="1" s="1"/>
  <c r="B860" i="1"/>
  <c r="C860" i="1" s="1"/>
  <c r="B350" i="1"/>
  <c r="C350" i="1" s="1"/>
  <c r="B947" i="1"/>
  <c r="C947" i="1" s="1"/>
  <c r="B2856" i="1"/>
  <c r="C2856" i="1" s="1"/>
  <c r="B2620" i="1"/>
  <c r="C2620" i="1" s="1"/>
  <c r="B85" i="1"/>
  <c r="C85" i="1" s="1"/>
  <c r="B1164" i="1"/>
  <c r="C1164" i="1" s="1"/>
  <c r="B522" i="1"/>
  <c r="C522" i="1" s="1"/>
  <c r="D522" i="1" s="1"/>
  <c r="B2258" i="1"/>
  <c r="C2258" i="1" s="1"/>
  <c r="B1684" i="1"/>
  <c r="C1684" i="1" s="1"/>
  <c r="B1102" i="1"/>
  <c r="C1102" i="1" s="1"/>
  <c r="B2070" i="1"/>
  <c r="C2070" i="1" s="1"/>
  <c r="B2169" i="1"/>
  <c r="C2169" i="1" s="1"/>
  <c r="B1043" i="1"/>
  <c r="C1043" i="1" s="1"/>
  <c r="B2421" i="1"/>
  <c r="C2421" i="1" s="1"/>
  <c r="B250" i="1"/>
  <c r="C250" i="1" s="1"/>
  <c r="D250" i="1" s="1"/>
  <c r="B2558" i="1"/>
  <c r="C2558" i="1" s="1"/>
  <c r="B2849" i="1"/>
  <c r="C2849" i="1" s="1"/>
  <c r="D2849" i="1" s="1"/>
  <c r="B2769" i="1"/>
  <c r="C2769" i="1" s="1"/>
  <c r="B2717" i="1"/>
  <c r="C2717" i="1" s="1"/>
  <c r="B1324" i="1"/>
  <c r="C1324" i="1" s="1"/>
  <c r="B1654" i="1"/>
  <c r="C1654" i="1" s="1"/>
  <c r="B882" i="1"/>
  <c r="C882" i="1" s="1"/>
  <c r="B484" i="1"/>
  <c r="C484" i="1" s="1"/>
  <c r="B732" i="1"/>
  <c r="C732" i="1" s="1"/>
  <c r="B1600" i="1"/>
  <c r="C1600" i="1" s="1"/>
  <c r="B294" i="1"/>
  <c r="C294" i="1" s="1"/>
  <c r="B1023" i="1"/>
  <c r="C1023" i="1" s="1"/>
  <c r="B1593" i="1"/>
  <c r="C1593" i="1" s="1"/>
  <c r="B1367" i="1"/>
  <c r="C1367" i="1" s="1"/>
  <c r="B2712" i="1"/>
  <c r="C2712" i="1" s="1"/>
  <c r="B2761" i="1"/>
  <c r="C2761" i="1" s="1"/>
  <c r="B462" i="1"/>
  <c r="C462" i="1" s="1"/>
  <c r="B867" i="1"/>
  <c r="C867" i="1" s="1"/>
  <c r="B1246" i="1"/>
  <c r="C1246" i="1" s="1"/>
  <c r="B2366" i="1"/>
  <c r="C2366" i="1" s="1"/>
  <c r="B1560" i="1"/>
  <c r="C1560" i="1" s="1"/>
  <c r="B1468" i="1"/>
  <c r="C1468" i="1" s="1"/>
  <c r="B2987" i="1"/>
  <c r="C2987" i="1" s="1"/>
  <c r="B1062" i="1"/>
  <c r="C1062" i="1" s="1"/>
  <c r="B1763" i="1"/>
  <c r="C1763" i="1" s="1"/>
  <c r="B2116" i="1"/>
  <c r="C2116" i="1" s="1"/>
  <c r="B722" i="1"/>
  <c r="C722" i="1" s="1"/>
  <c r="B1332" i="1"/>
  <c r="C1332" i="1" s="1"/>
  <c r="B958" i="1"/>
  <c r="C958" i="1" s="1"/>
  <c r="B2829" i="1"/>
  <c r="C2829" i="1" s="1"/>
  <c r="B985" i="1"/>
  <c r="C985" i="1" s="1"/>
  <c r="B1930" i="1"/>
  <c r="C1930" i="1" s="1"/>
  <c r="B43" i="1"/>
  <c r="C43" i="1" s="1"/>
  <c r="B1025" i="1"/>
  <c r="C1025" i="1" s="1"/>
  <c r="B929" i="1"/>
  <c r="C929" i="1" s="1"/>
  <c r="B273" i="1"/>
  <c r="C273" i="1" s="1"/>
  <c r="B831" i="1"/>
  <c r="C831" i="1" s="1"/>
  <c r="B1909" i="1"/>
  <c r="C1909" i="1" s="1"/>
  <c r="B1777" i="1"/>
  <c r="C1777" i="1" s="1"/>
  <c r="B2143" i="1"/>
  <c r="C2143" i="1" s="1"/>
  <c r="B572" i="1"/>
  <c r="C572" i="1" s="1"/>
  <c r="B1715" i="1"/>
  <c r="C1715" i="1" s="1"/>
  <c r="B2109" i="1"/>
  <c r="C2109" i="1" s="1"/>
  <c r="B2747" i="1"/>
  <c r="C2747" i="1" s="1"/>
  <c r="B2542" i="1"/>
  <c r="C2542" i="1" s="1"/>
  <c r="B1641" i="1"/>
  <c r="C1641" i="1" s="1"/>
  <c r="B2543" i="1"/>
  <c r="C2543" i="1" s="1"/>
  <c r="B1895" i="1"/>
  <c r="C1895" i="1" s="1"/>
  <c r="B100" i="1"/>
  <c r="C100" i="1" s="1"/>
  <c r="B1665" i="1"/>
  <c r="C1665" i="1" s="1"/>
  <c r="B784" i="1"/>
  <c r="C784" i="1" s="1"/>
  <c r="B794" i="1"/>
  <c r="C794" i="1" s="1"/>
  <c r="B1995" i="1"/>
  <c r="C1995" i="1" s="1"/>
  <c r="B1502" i="1"/>
  <c r="C1502" i="1" s="1"/>
  <c r="B1113" i="1"/>
  <c r="C1113" i="1" s="1"/>
  <c r="B2246" i="1"/>
  <c r="C2246" i="1" s="1"/>
  <c r="B1562" i="1"/>
  <c r="C1562" i="1" s="1"/>
  <c r="D1563" i="1" s="1"/>
  <c r="B815" i="1"/>
  <c r="C815" i="1" s="1"/>
  <c r="B2114" i="1"/>
  <c r="C2114" i="1" s="1"/>
  <c r="B1523" i="1"/>
  <c r="C1523" i="1" s="1"/>
  <c r="B567" i="1"/>
  <c r="C567" i="1" s="1"/>
  <c r="B1881" i="1"/>
  <c r="C1881" i="1" s="1"/>
  <c r="B2772" i="1"/>
  <c r="C2772" i="1" s="1"/>
  <c r="B2166" i="1"/>
  <c r="C2166" i="1" s="1"/>
  <c r="B376" i="1"/>
  <c r="C376" i="1" s="1"/>
  <c r="B1412" i="1"/>
  <c r="C1412" i="1" s="1"/>
  <c r="B1019" i="1"/>
  <c r="C1019" i="1" s="1"/>
  <c r="D1019" i="1" s="1"/>
  <c r="B2433" i="1"/>
  <c r="C2433" i="1" s="1"/>
  <c r="B2918" i="1"/>
  <c r="C2918" i="1" s="1"/>
  <c r="B1610" i="1"/>
  <c r="C1610" i="1" s="1"/>
  <c r="B1234" i="1"/>
  <c r="C1234" i="1" s="1"/>
  <c r="B2335" i="1"/>
  <c r="C2335" i="1" s="1"/>
  <c r="B1638" i="1"/>
  <c r="C1638" i="1" s="1"/>
  <c r="B1279" i="1"/>
  <c r="C1279" i="1" s="1"/>
  <c r="D1279" i="1" s="1"/>
  <c r="B162" i="1"/>
  <c r="C162" i="1" s="1"/>
  <c r="B1001" i="1"/>
  <c r="C1001" i="1" s="1"/>
  <c r="B665" i="1"/>
  <c r="C665" i="1" s="1"/>
  <c r="B390" i="1"/>
  <c r="C390" i="1" s="1"/>
  <c r="B1920" i="1"/>
  <c r="C1920" i="1" s="1"/>
  <c r="B2090" i="1"/>
  <c r="C2090" i="1" s="1"/>
  <c r="B1580" i="1"/>
  <c r="C1580" i="1" s="1"/>
  <c r="B233" i="1"/>
  <c r="C233" i="1" s="1"/>
  <c r="B886" i="1"/>
  <c r="C886" i="1" s="1"/>
  <c r="B2888" i="1"/>
  <c r="C2888" i="1" s="1"/>
  <c r="B326" i="1"/>
  <c r="C326" i="1" s="1"/>
  <c r="B1616" i="1"/>
  <c r="C1616" i="1" s="1"/>
  <c r="B1999" i="1"/>
  <c r="C1999" i="1" s="1"/>
  <c r="B1832" i="1"/>
  <c r="C1832" i="1" s="1"/>
  <c r="B2980" i="1"/>
  <c r="C2980" i="1" s="1"/>
  <c r="B1508" i="1"/>
  <c r="C1508" i="1" s="1"/>
  <c r="B1472" i="1"/>
  <c r="C1472" i="1" s="1"/>
  <c r="B1810" i="1"/>
  <c r="C1810" i="1" s="1"/>
  <c r="B948" i="1"/>
  <c r="C948" i="1" s="1"/>
  <c r="B1574" i="1"/>
  <c r="C1574" i="1" s="1"/>
  <c r="B279" i="1"/>
  <c r="C279" i="1" s="1"/>
  <c r="B466" i="1"/>
  <c r="C466" i="1" s="1"/>
  <c r="B2550" i="1"/>
  <c r="C2550" i="1" s="1"/>
  <c r="B2718" i="1"/>
  <c r="C2718" i="1" s="1"/>
  <c r="B930" i="1"/>
  <c r="C930" i="1" s="1"/>
  <c r="D930" i="1" s="1"/>
  <c r="B884" i="1"/>
  <c r="C884" i="1" s="1"/>
  <c r="B1214" i="1"/>
  <c r="C1214" i="1" s="1"/>
  <c r="B2360" i="1"/>
  <c r="C2360" i="1" s="1"/>
  <c r="B2578" i="1"/>
  <c r="C2578" i="1" s="1"/>
  <c r="B2286" i="1"/>
  <c r="C2286" i="1" s="1"/>
  <c r="B1215" i="1"/>
  <c r="C1215" i="1" s="1"/>
  <c r="B2214" i="1"/>
  <c r="C2214" i="1" s="1"/>
  <c r="B309" i="1"/>
  <c r="C309" i="1" s="1"/>
  <c r="B2146" i="1"/>
  <c r="C2146" i="1" s="1"/>
  <c r="B1921" i="1"/>
  <c r="C1921" i="1" s="1"/>
  <c r="B1101" i="1"/>
  <c r="C1101" i="1" s="1"/>
  <c r="B2493" i="1"/>
  <c r="C2493" i="1" s="1"/>
  <c r="B575" i="1"/>
  <c r="C575" i="1" s="1"/>
  <c r="B1253" i="1"/>
  <c r="C1253" i="1" s="1"/>
  <c r="B568" i="1"/>
  <c r="C568" i="1" s="1"/>
  <c r="B2004" i="1"/>
  <c r="C2004" i="1" s="1"/>
  <c r="B1613" i="1"/>
  <c r="C1613" i="1" s="1"/>
  <c r="B2314" i="1"/>
  <c r="C2314" i="1" s="1"/>
  <c r="B1742" i="1"/>
  <c r="C1742" i="1" s="1"/>
  <c r="B1554" i="1"/>
  <c r="C1554" i="1" s="1"/>
  <c r="B628" i="1"/>
  <c r="C628" i="1" s="1"/>
  <c r="B2383" i="1"/>
  <c r="C2383" i="1" s="1"/>
  <c r="B2615" i="1"/>
  <c r="C2615" i="1" s="1"/>
  <c r="B2879" i="1"/>
  <c r="C2879" i="1" s="1"/>
  <c r="B950" i="1"/>
  <c r="C950" i="1" s="1"/>
  <c r="B1388" i="1"/>
  <c r="C1388" i="1" s="1"/>
  <c r="D1388" i="1" s="1"/>
  <c r="B734" i="1"/>
  <c r="C734" i="1" s="1"/>
  <c r="B2694" i="1"/>
  <c r="C2694" i="1" s="1"/>
  <c r="B1499" i="1"/>
  <c r="C1499" i="1" s="1"/>
  <c r="B1484" i="1"/>
  <c r="C1484" i="1" s="1"/>
  <c r="B1755" i="1"/>
  <c r="C1755" i="1" s="1"/>
  <c r="B2031" i="1"/>
  <c r="C2031" i="1" s="1"/>
  <c r="B1505" i="1"/>
  <c r="C1505" i="1" s="1"/>
  <c r="B1481" i="1"/>
  <c r="C1481" i="1" s="1"/>
  <c r="B8" i="1"/>
  <c r="C8" i="1" s="1"/>
  <c r="B1074" i="1"/>
  <c r="C1074" i="1" s="1"/>
  <c r="B1859" i="1"/>
  <c r="C1859" i="1" s="1"/>
  <c r="B1894" i="1"/>
  <c r="C1894" i="1" s="1"/>
  <c r="B1491" i="1"/>
  <c r="C1491" i="1" s="1"/>
  <c r="B1280" i="1"/>
  <c r="C1280" i="1" s="1"/>
  <c r="B141" i="1"/>
  <c r="C141" i="1" s="1"/>
  <c r="B712" i="1"/>
  <c r="C712" i="1" s="1"/>
  <c r="B2455" i="1"/>
  <c r="C2455" i="1" s="1"/>
  <c r="B177" i="1"/>
  <c r="C177" i="1" s="1"/>
  <c r="B2605" i="1"/>
  <c r="C2605" i="1" s="1"/>
  <c r="B2467" i="1"/>
  <c r="C2467" i="1" s="1"/>
  <c r="B535" i="1"/>
  <c r="C535" i="1" s="1"/>
  <c r="B481" i="1"/>
  <c r="C481" i="1" s="1"/>
  <c r="B1251" i="1"/>
  <c r="C1251" i="1" s="1"/>
  <c r="B1699" i="1"/>
  <c r="C1699" i="1" s="1"/>
  <c r="B220" i="1"/>
  <c r="C220" i="1" s="1"/>
  <c r="B1459" i="1"/>
  <c r="C1459" i="1" s="1"/>
  <c r="B1633" i="1"/>
  <c r="C1633" i="1" s="1"/>
  <c r="B1361" i="1"/>
  <c r="C1361" i="1" s="1"/>
  <c r="B1815" i="1"/>
  <c r="C1815" i="1" s="1"/>
  <c r="B847" i="1"/>
  <c r="C847" i="1" s="1"/>
  <c r="B1831" i="1"/>
  <c r="C1831" i="1" s="1"/>
  <c r="D1831" i="1" s="1"/>
  <c r="B1178" i="1"/>
  <c r="C1178" i="1" s="1"/>
  <c r="B1046" i="1"/>
  <c r="C1046" i="1" s="1"/>
  <c r="B2244" i="1"/>
  <c r="C2244" i="1" s="1"/>
  <c r="B696" i="1"/>
  <c r="C696" i="1" s="1"/>
  <c r="B414" i="1"/>
  <c r="C414" i="1" s="1"/>
  <c r="B477" i="1"/>
  <c r="C477" i="1" s="1"/>
  <c r="B2606" i="1"/>
  <c r="C2606" i="1" s="1"/>
  <c r="B2056" i="1"/>
  <c r="C2056" i="1" s="1"/>
  <c r="B2608" i="1"/>
  <c r="C2608" i="1" s="1"/>
  <c r="B970" i="1"/>
  <c r="C970" i="1" s="1"/>
  <c r="B2409" i="1"/>
  <c r="C2409" i="1" s="1"/>
  <c r="B2330" i="1"/>
  <c r="C2330" i="1" s="1"/>
  <c r="B2083" i="1"/>
  <c r="C2083" i="1" s="1"/>
  <c r="B786" i="1"/>
  <c r="C786" i="1" s="1"/>
  <c r="B2334" i="1"/>
  <c r="C2334" i="1" s="1"/>
  <c r="B2885" i="1"/>
  <c r="C2885" i="1" s="1"/>
  <c r="B617" i="1"/>
  <c r="C617" i="1" s="1"/>
  <c r="B203" i="1"/>
  <c r="C203" i="1" s="1"/>
  <c r="B2430" i="1"/>
  <c r="C2430" i="1" s="1"/>
  <c r="B1804" i="1"/>
  <c r="C1804" i="1" s="1"/>
  <c r="B1469" i="1"/>
  <c r="C1469" i="1" s="1"/>
  <c r="B2052" i="1"/>
  <c r="C2052" i="1" s="1"/>
  <c r="B1284" i="1"/>
  <c r="C1284" i="1" s="1"/>
  <c r="B1238" i="1"/>
  <c r="C1238" i="1" s="1"/>
  <c r="B2840" i="1"/>
  <c r="C2840" i="1" s="1"/>
  <c r="B2296" i="1"/>
  <c r="C2296" i="1" s="1"/>
  <c r="B1547" i="1"/>
  <c r="C1547" i="1" s="1"/>
  <c r="B2498" i="1"/>
  <c r="C2498" i="1" s="1"/>
  <c r="B2165" i="1"/>
  <c r="C2165" i="1" s="1"/>
  <c r="B1067" i="1"/>
  <c r="C1067" i="1" s="1"/>
  <c r="B1197" i="1"/>
  <c r="C1197" i="1" s="1"/>
  <c r="B1510" i="1"/>
  <c r="C1510" i="1" s="1"/>
  <c r="B1478" i="1"/>
  <c r="C1478" i="1" s="1"/>
  <c r="D1478" i="1" s="1"/>
  <c r="B1032" i="1"/>
  <c r="C1032" i="1" s="1"/>
  <c r="B440" i="1"/>
  <c r="C440" i="1" s="1"/>
  <c r="B1901" i="1"/>
  <c r="C1901" i="1" s="1"/>
  <c r="B1028" i="1"/>
  <c r="C1028" i="1" s="1"/>
  <c r="B562" i="1"/>
  <c r="C562" i="1" s="1"/>
  <c r="B1524" i="1"/>
  <c r="C1524" i="1" s="1"/>
  <c r="B1098" i="1"/>
  <c r="C1098" i="1" s="1"/>
  <c r="B3005" i="1"/>
  <c r="C3005" i="1" s="1"/>
  <c r="B2685" i="1"/>
  <c r="C2685" i="1" s="1"/>
  <c r="B1129" i="1"/>
  <c r="C1129" i="1" s="1"/>
  <c r="B2978" i="1"/>
  <c r="C2978" i="1" s="1"/>
  <c r="B190" i="1"/>
  <c r="C190" i="1" s="1"/>
  <c r="B1975" i="1"/>
  <c r="C1975" i="1" s="1"/>
  <c r="D1975" i="1" s="1"/>
  <c r="B142" i="1"/>
  <c r="C142" i="1" s="1"/>
  <c r="B1009" i="1"/>
  <c r="C1009" i="1" s="1"/>
  <c r="B47" i="1"/>
  <c r="C47" i="1" s="1"/>
  <c r="B112" i="1"/>
  <c r="C112" i="1" s="1"/>
  <c r="B2664" i="1"/>
  <c r="C2664" i="1" s="1"/>
  <c r="B1444" i="1"/>
  <c r="C1444" i="1" s="1"/>
  <c r="B1726" i="1"/>
  <c r="C1726" i="1" s="1"/>
  <c r="B86" i="1"/>
  <c r="C86" i="1" s="1"/>
  <c r="B38" i="1"/>
  <c r="C38" i="1" s="1"/>
  <c r="B2038" i="1"/>
  <c r="C2038" i="1" s="1"/>
  <c r="B450" i="1"/>
  <c r="C450" i="1" s="1"/>
  <c r="B2357" i="1"/>
  <c r="C2357" i="1" s="1"/>
  <c r="B1254" i="1"/>
  <c r="C1254" i="1" s="1"/>
  <c r="B2035" i="1"/>
  <c r="C2035" i="1" s="1"/>
  <c r="B1739" i="1"/>
  <c r="C1739" i="1" s="1"/>
  <c r="B873" i="1"/>
  <c r="C873" i="1" s="1"/>
  <c r="B2295" i="1"/>
  <c r="C2295" i="1" s="1"/>
  <c r="B1313" i="1"/>
  <c r="C1313" i="1" s="1"/>
  <c r="B281" i="1"/>
  <c r="C281" i="1" s="1"/>
  <c r="B14" i="1"/>
  <c r="C14" i="1" s="1"/>
  <c r="B649" i="1"/>
  <c r="C649" i="1" s="1"/>
  <c r="B1366" i="1"/>
  <c r="C1366" i="1" s="1"/>
  <c r="B1030" i="1"/>
  <c r="C1030" i="1" s="1"/>
  <c r="B108" i="1"/>
  <c r="C108" i="1" s="1"/>
  <c r="B2129" i="1"/>
  <c r="C2129" i="1" s="1"/>
  <c r="B2983" i="1"/>
  <c r="C2983" i="1" s="1"/>
  <c r="B1681" i="1"/>
  <c r="C1681" i="1" s="1"/>
  <c r="B3002" i="1"/>
  <c r="C3002" i="1" s="1"/>
  <c r="B2667" i="1"/>
  <c r="C2667" i="1" s="1"/>
  <c r="B2590" i="1"/>
  <c r="C2590" i="1" s="1"/>
  <c r="B1719" i="1"/>
  <c r="C1719" i="1" s="1"/>
  <c r="B2034" i="1"/>
  <c r="C2034" i="1" s="1"/>
  <c r="B1029" i="1"/>
  <c r="C1029" i="1" s="1"/>
  <c r="B2681" i="1"/>
  <c r="C2681" i="1" s="1"/>
  <c r="B2790" i="1"/>
  <c r="C2790" i="1" s="1"/>
  <c r="D2791" i="1" s="1"/>
  <c r="B1235" i="1"/>
  <c r="C1235" i="1" s="1"/>
  <c r="B2198" i="1"/>
  <c r="C2198" i="1" s="1"/>
  <c r="B2020" i="1"/>
  <c r="C2020" i="1" s="1"/>
  <c r="B2781" i="1"/>
  <c r="C2781" i="1" s="1"/>
  <c r="B336" i="1"/>
  <c r="C336" i="1" s="1"/>
  <c r="B1076" i="1"/>
  <c r="C1076" i="1" s="1"/>
  <c r="B2534" i="1"/>
  <c r="C2534" i="1" s="1"/>
  <c r="B1094" i="1"/>
  <c r="C1094" i="1" s="1"/>
  <c r="B1039" i="1"/>
  <c r="C1039" i="1" s="1"/>
  <c r="B2087" i="1"/>
  <c r="C2087" i="1" s="1"/>
  <c r="B1432" i="1"/>
  <c r="C1432" i="1" s="1"/>
  <c r="B1732" i="1"/>
  <c r="C1732" i="1" s="1"/>
  <c r="B2929" i="1"/>
  <c r="C2929" i="1" s="1"/>
  <c r="B2232" i="1"/>
  <c r="C2232" i="1" s="1"/>
  <c r="B1980" i="1"/>
  <c r="C1980" i="1" s="1"/>
  <c r="B573" i="1"/>
  <c r="C573" i="1" s="1"/>
  <c r="B1639" i="1"/>
  <c r="C1639" i="1" s="1"/>
  <c r="B1136" i="1"/>
  <c r="C1136" i="1" s="1"/>
  <c r="B98" i="1"/>
  <c r="C98" i="1" s="1"/>
  <c r="B738" i="1"/>
  <c r="C738" i="1" s="1"/>
  <c r="B366" i="1"/>
  <c r="C366" i="1" s="1"/>
  <c r="B36" i="1"/>
  <c r="C36" i="1" s="1"/>
  <c r="B433" i="1"/>
  <c r="C433" i="1" s="1"/>
  <c r="D433" i="1" s="1"/>
  <c r="B1072" i="1"/>
  <c r="C1072" i="1" s="1"/>
  <c r="B1423" i="1"/>
  <c r="C1423" i="1" s="1"/>
  <c r="B1137" i="1"/>
  <c r="C1137" i="1" s="1"/>
  <c r="B497" i="1"/>
  <c r="C497" i="1" s="1"/>
  <c r="B727" i="1"/>
  <c r="C727" i="1" s="1"/>
  <c r="B1786" i="1"/>
  <c r="C1786" i="1" s="1"/>
  <c r="B2180" i="1"/>
  <c r="C2180" i="1" s="1"/>
  <c r="B1544" i="1"/>
  <c r="C1544" i="1" s="1"/>
  <c r="B2437" i="1"/>
  <c r="C2437" i="1" s="1"/>
  <c r="B1528" i="1"/>
  <c r="C1528" i="1" s="1"/>
  <c r="B25" i="1"/>
  <c r="C25" i="1" s="1"/>
  <c r="B845" i="1"/>
  <c r="C845" i="1" s="1"/>
  <c r="B2839" i="1"/>
  <c r="C2839" i="1" s="1"/>
  <c r="B2549" i="1"/>
  <c r="C2549" i="1" s="1"/>
  <c r="B788" i="1"/>
  <c r="C788" i="1" s="1"/>
  <c r="B780" i="1"/>
  <c r="C780" i="1" s="1"/>
  <c r="B1941" i="1"/>
  <c r="C1941" i="1" s="1"/>
  <c r="B131" i="1"/>
  <c r="C131" i="1" s="1"/>
  <c r="B1835" i="1"/>
  <c r="C1835" i="1" s="1"/>
  <c r="B2936" i="1"/>
  <c r="C2936" i="1" s="1"/>
  <c r="B2155" i="1"/>
  <c r="C2155" i="1" s="1"/>
  <c r="B2984" i="1"/>
  <c r="C2984" i="1" s="1"/>
  <c r="B551" i="1"/>
  <c r="C551" i="1" s="1"/>
  <c r="B53" i="1"/>
  <c r="C53" i="1" s="1"/>
  <c r="B425" i="1"/>
  <c r="C425" i="1" s="1"/>
  <c r="B2331" i="1"/>
  <c r="C2331" i="1" s="1"/>
  <c r="B2080" i="1"/>
  <c r="C2080" i="1" s="1"/>
  <c r="B345" i="1"/>
  <c r="C345" i="1" s="1"/>
  <c r="B1836" i="1"/>
  <c r="C1836" i="1" s="1"/>
  <c r="B2679" i="1"/>
  <c r="C2679" i="1" s="1"/>
  <c r="B2238" i="1"/>
  <c r="C2238" i="1" s="1"/>
  <c r="B1933" i="1"/>
  <c r="C1933" i="1" s="1"/>
  <c r="B1939" i="1"/>
  <c r="C1939" i="1" s="1"/>
  <c r="B1916" i="1"/>
  <c r="C1916" i="1" s="1"/>
  <c r="B2570" i="1"/>
  <c r="C2570" i="1" s="1"/>
  <c r="B2581" i="1"/>
  <c r="C2581" i="1" s="1"/>
  <c r="B529" i="1"/>
  <c r="C529" i="1" s="1"/>
  <c r="B1078" i="1"/>
  <c r="C1078" i="1" s="1"/>
  <c r="B387" i="1"/>
  <c r="C387" i="1" s="1"/>
  <c r="B375" i="1"/>
  <c r="C375" i="1" s="1"/>
  <c r="B2207" i="1"/>
  <c r="C2207" i="1" s="1"/>
  <c r="D2207" i="1" s="1"/>
  <c r="B1275" i="1"/>
  <c r="C1275" i="1" s="1"/>
  <c r="B2074" i="1"/>
  <c r="C2074" i="1" s="1"/>
  <c r="B518" i="1"/>
  <c r="C518" i="1" s="1"/>
  <c r="B2913" i="1"/>
  <c r="C2913" i="1" s="1"/>
  <c r="B791" i="1"/>
  <c r="C791" i="1" s="1"/>
  <c r="B2540" i="1"/>
  <c r="C2540" i="1" s="1"/>
  <c r="B1147" i="1"/>
  <c r="C1147" i="1" s="1"/>
  <c r="B724" i="1"/>
  <c r="C724" i="1" s="1"/>
  <c r="B941" i="1"/>
  <c r="C941" i="1" s="1"/>
  <c r="B1991" i="1"/>
  <c r="C1991" i="1" s="1"/>
  <c r="B1950" i="1"/>
  <c r="C1950" i="1" s="1"/>
  <c r="B2217" i="1"/>
  <c r="C2217" i="1" s="1"/>
  <c r="B2502" i="1"/>
  <c r="C2502" i="1" s="1"/>
  <c r="B55" i="1"/>
  <c r="C55" i="1" s="1"/>
  <c r="B2872" i="1"/>
  <c r="C2872" i="1" s="1"/>
  <c r="B919" i="1"/>
  <c r="C919" i="1" s="1"/>
  <c r="B2662" i="1"/>
  <c r="C2662" i="1" s="1"/>
  <c r="B646" i="1"/>
  <c r="C646" i="1" s="1"/>
  <c r="B1077" i="1"/>
  <c r="C1077" i="1" s="1"/>
  <c r="B1446" i="1"/>
  <c r="C1446" i="1" s="1"/>
  <c r="D1446" i="1" s="1"/>
  <c r="B2665" i="1"/>
  <c r="C2665" i="1" s="1"/>
  <c r="B2163" i="1"/>
  <c r="C2163" i="1" s="1"/>
  <c r="B986" i="1"/>
  <c r="C986" i="1" s="1"/>
  <c r="B924" i="1"/>
  <c r="C924" i="1" s="1"/>
  <c r="B1003" i="1"/>
  <c r="C1003" i="1" s="1"/>
  <c r="B1417" i="1"/>
  <c r="C1417" i="1" s="1"/>
  <c r="B859" i="1"/>
  <c r="C859" i="1" s="1"/>
  <c r="B438" i="1"/>
  <c r="C438" i="1" s="1"/>
  <c r="B778" i="1"/>
  <c r="C778" i="1" s="1"/>
  <c r="B2066" i="1"/>
  <c r="C2066" i="1" s="1"/>
  <c r="B2986" i="1"/>
  <c r="C2986" i="1" s="1"/>
  <c r="B2730" i="1"/>
  <c r="C2730" i="1" s="1"/>
  <c r="B1402" i="1"/>
  <c r="C1402" i="1" s="1"/>
  <c r="B2968" i="1"/>
  <c r="C2968" i="1" s="1"/>
  <c r="B2507" i="1"/>
  <c r="C2507" i="1" s="1"/>
  <c r="B624" i="1"/>
  <c r="C624" i="1" s="1"/>
  <c r="B2313" i="1"/>
  <c r="C2313" i="1" s="1"/>
  <c r="B368" i="1"/>
  <c r="C368" i="1" s="1"/>
  <c r="B1526" i="1"/>
  <c r="C1526" i="1" s="1"/>
  <c r="B290" i="1"/>
  <c r="C290" i="1" s="1"/>
  <c r="B2208" i="1"/>
  <c r="C2208" i="1" s="1"/>
  <c r="B2602" i="1"/>
  <c r="C2602" i="1" s="1"/>
  <c r="B1945" i="1"/>
  <c r="C1945" i="1" s="1"/>
  <c r="B248" i="1"/>
  <c r="C248" i="1" s="1"/>
  <c r="B1588" i="1"/>
  <c r="C1588" i="1" s="1"/>
  <c r="B2299" i="1"/>
  <c r="C2299" i="1" s="1"/>
  <c r="B949" i="1"/>
  <c r="C949" i="1" s="1"/>
  <c r="B1104" i="1"/>
  <c r="C1104" i="1" s="1"/>
  <c r="B2100" i="1"/>
  <c r="C2100" i="1" s="1"/>
  <c r="B1725" i="1"/>
  <c r="C1725" i="1" s="1"/>
  <c r="B817" i="1"/>
  <c r="C817" i="1" s="1"/>
  <c r="B2609" i="1"/>
  <c r="C2609" i="1" s="1"/>
  <c r="B2446" i="1"/>
  <c r="C2446" i="1" s="1"/>
  <c r="B1837" i="1"/>
  <c r="C1837" i="1" s="1"/>
  <c r="B155" i="1"/>
  <c r="C155" i="1" s="1"/>
  <c r="B1325" i="1"/>
  <c r="C1325" i="1" s="1"/>
  <c r="D1325" i="1" s="1"/>
  <c r="B2753" i="1"/>
  <c r="C2753" i="1" s="1"/>
  <c r="B1426" i="1"/>
  <c r="C1426" i="1" s="1"/>
  <c r="B2844" i="1"/>
  <c r="C2844" i="1" s="1"/>
  <c r="B564" i="1"/>
  <c r="C564" i="1" s="1"/>
  <c r="B355" i="1"/>
  <c r="C355" i="1" s="1"/>
  <c r="B267" i="1"/>
  <c r="C267" i="1" s="1"/>
  <c r="B459" i="1"/>
  <c r="C459" i="1" s="1"/>
  <c r="B2184" i="1"/>
  <c r="C2184" i="1" s="1"/>
  <c r="B591" i="1"/>
  <c r="C591" i="1" s="1"/>
  <c r="D591" i="1" s="1"/>
  <c r="B1248" i="1"/>
  <c r="C1248" i="1" s="1"/>
  <c r="B2701" i="1"/>
  <c r="C2701" i="1" s="1"/>
  <c r="B22" i="1"/>
  <c r="C22" i="1" s="1"/>
  <c r="B2119" i="1"/>
  <c r="C2119" i="1" s="1"/>
  <c r="D2119" i="1" s="1"/>
  <c r="B582" i="1"/>
  <c r="C582" i="1" s="1"/>
  <c r="B2686" i="1"/>
  <c r="C2686" i="1" s="1"/>
  <c r="B1776" i="1"/>
  <c r="C1776" i="1" s="1"/>
  <c r="B2922" i="1"/>
  <c r="C2922" i="1" s="1"/>
  <c r="B808" i="1"/>
  <c r="C808" i="1" s="1"/>
  <c r="B200" i="1"/>
  <c r="C200" i="1" s="1"/>
  <c r="B1798" i="1"/>
  <c r="C1798" i="1" s="1"/>
  <c r="B199" i="1"/>
  <c r="C199" i="1" s="1"/>
  <c r="B2124" i="1"/>
  <c r="C2124" i="1" s="1"/>
  <c r="B1159" i="1"/>
  <c r="C1159" i="1" s="1"/>
  <c r="D1159" i="1" s="1"/>
  <c r="B543" i="1"/>
  <c r="C543" i="1" s="1"/>
  <c r="B2735" i="1"/>
  <c r="C2735" i="1" s="1"/>
  <c r="B44" i="1"/>
  <c r="C44" i="1" s="1"/>
  <c r="B2689" i="1"/>
  <c r="C2689" i="1" s="1"/>
  <c r="B1088" i="1"/>
  <c r="C1088" i="1" s="1"/>
  <c r="B2949" i="1"/>
  <c r="C2949" i="1" s="1"/>
  <c r="B1310" i="1"/>
  <c r="C1310" i="1" s="1"/>
  <c r="B2278" i="1"/>
  <c r="C2278" i="1" s="1"/>
  <c r="B2536" i="1"/>
  <c r="C2536" i="1" s="1"/>
  <c r="B403" i="1"/>
  <c r="C403" i="1" s="1"/>
  <c r="B385" i="1"/>
  <c r="C385" i="1" s="1"/>
  <c r="B710" i="1"/>
  <c r="C710" i="1" s="1"/>
  <c r="B2042" i="1"/>
  <c r="C2042" i="1" s="1"/>
  <c r="B354" i="1"/>
  <c r="C354" i="1" s="1"/>
  <c r="B2486" i="1"/>
  <c r="C2486" i="1" s="1"/>
  <c r="B1581" i="1"/>
  <c r="C1581" i="1" s="1"/>
  <c r="AD25" i="51"/>
  <c r="Y25" i="51"/>
  <c r="AI25" i="51" s="1"/>
  <c r="B494" i="1"/>
  <c r="C494" i="1" s="1"/>
  <c r="B2329" i="1"/>
  <c r="C2329" i="1" s="1"/>
  <c r="B976" i="1"/>
  <c r="C976" i="1" s="1"/>
  <c r="D976" i="1" s="1"/>
  <c r="B749" i="1"/>
  <c r="C749" i="1" s="1"/>
  <c r="B1864" i="1"/>
  <c r="C1864" i="1" s="1"/>
  <c r="B1960" i="1"/>
  <c r="C1960" i="1" s="1"/>
  <c r="B844" i="1"/>
  <c r="C844" i="1" s="1"/>
  <c r="B1866" i="1"/>
  <c r="C1866" i="1" s="1"/>
  <c r="B2672" i="1"/>
  <c r="C2672" i="1" s="1"/>
  <c r="B2727" i="1"/>
  <c r="C2727" i="1" s="1"/>
  <c r="B1646" i="1"/>
  <c r="C1646" i="1" s="1"/>
  <c r="B584" i="1"/>
  <c r="C584" i="1" s="1"/>
  <c r="B672" i="1"/>
  <c r="C672" i="1" s="1"/>
  <c r="B2611" i="1"/>
  <c r="C2611" i="1" s="1"/>
  <c r="B2916" i="1"/>
  <c r="C2916" i="1" s="1"/>
  <c r="B811" i="1"/>
  <c r="C811" i="1" s="1"/>
  <c r="B2698" i="1"/>
  <c r="C2698" i="1" s="1"/>
  <c r="B175" i="1"/>
  <c r="C175" i="1" s="1"/>
  <c r="B1879" i="1"/>
  <c r="C1879" i="1" s="1"/>
  <c r="B1209" i="1"/>
  <c r="C1209" i="1" s="1"/>
  <c r="B1749" i="1"/>
  <c r="C1749" i="1" s="1"/>
  <c r="B2670" i="1"/>
  <c r="C2670" i="1" s="1"/>
  <c r="B1476" i="1"/>
  <c r="C1476" i="1" s="1"/>
  <c r="D1477" i="1" s="1"/>
  <c r="B1671" i="1"/>
  <c r="C1671" i="1" s="1"/>
  <c r="B2282" i="1"/>
  <c r="C2282" i="1" s="1"/>
  <c r="B1224" i="1"/>
  <c r="C1224" i="1" s="1"/>
  <c r="B33" i="1"/>
  <c r="C33" i="1" s="1"/>
  <c r="B1891" i="1"/>
  <c r="C1891" i="1" s="1"/>
  <c r="B151" i="1"/>
  <c r="C151" i="1" s="1"/>
  <c r="B776" i="1"/>
  <c r="C776" i="1" s="1"/>
  <c r="B197" i="1"/>
  <c r="C197" i="1" s="1"/>
  <c r="B2806" i="1"/>
  <c r="C2806" i="1" s="1"/>
  <c r="B2200" i="1"/>
  <c r="C2200" i="1" s="1"/>
  <c r="B93" i="1"/>
  <c r="C93" i="1" s="1"/>
  <c r="B40" i="1"/>
  <c r="C40" i="1" s="1"/>
  <c r="B292" i="1"/>
  <c r="C292" i="1" s="1"/>
  <c r="B232" i="1"/>
  <c r="C232" i="1" s="1"/>
  <c r="B569" i="1"/>
  <c r="C569" i="1" s="1"/>
  <c r="B1582" i="1"/>
  <c r="C1582" i="1" s="1"/>
  <c r="B605" i="1"/>
  <c r="C605" i="1" s="1"/>
  <c r="B490" i="1"/>
  <c r="C490" i="1" s="1"/>
  <c r="B2175" i="1"/>
  <c r="C2175" i="1" s="1"/>
  <c r="B1170" i="1"/>
  <c r="C1170" i="1" s="1"/>
  <c r="B1375" i="1"/>
  <c r="C1375" i="1" s="1"/>
  <c r="B222" i="1"/>
  <c r="C222" i="1" s="1"/>
  <c r="B669" i="1"/>
  <c r="C669" i="1" s="1"/>
  <c r="B2587" i="1"/>
  <c r="C2587" i="1" s="1"/>
  <c r="B439" i="1"/>
  <c r="C439" i="1" s="1"/>
  <c r="B210" i="1"/>
  <c r="C210" i="1" s="1"/>
  <c r="B2240" i="1"/>
  <c r="C2240" i="1" s="1"/>
  <c r="B2545" i="1"/>
  <c r="C2545" i="1" s="1"/>
  <c r="B2381" i="1"/>
  <c r="C2381" i="1" s="1"/>
  <c r="B1599" i="1"/>
  <c r="C1599" i="1" s="1"/>
  <c r="B1783" i="1"/>
  <c r="C1783" i="1" s="1"/>
  <c r="B614" i="1"/>
  <c r="C614" i="1" s="1"/>
  <c r="B2754" i="1"/>
  <c r="C2754" i="1" s="1"/>
  <c r="B2954" i="1"/>
  <c r="C2954" i="1" s="1"/>
  <c r="B2310" i="1"/>
  <c r="C2310" i="1" s="1"/>
  <c r="B1276" i="1"/>
  <c r="C1276" i="1" s="1"/>
  <c r="B2992" i="1"/>
  <c r="C2992" i="1" s="1"/>
  <c r="B344" i="1"/>
  <c r="C344" i="1" s="1"/>
  <c r="B314" i="1"/>
  <c r="C314" i="1" s="1"/>
  <c r="B2650" i="1"/>
  <c r="C2650" i="1" s="1"/>
  <c r="B1007" i="1"/>
  <c r="C1007" i="1" s="1"/>
  <c r="B1764" i="1"/>
  <c r="C1764" i="1" s="1"/>
  <c r="B1948" i="1"/>
  <c r="C1948" i="1" s="1"/>
  <c r="B498" i="1"/>
  <c r="C498" i="1" s="1"/>
  <c r="B504" i="1"/>
  <c r="C504" i="1" s="1"/>
  <c r="B1132" i="1"/>
  <c r="C1132" i="1" s="1"/>
  <c r="B2079" i="1"/>
  <c r="C2079" i="1" s="1"/>
  <c r="B706" i="1"/>
  <c r="C706" i="1" s="1"/>
  <c r="B2382" i="1"/>
  <c r="C2382" i="1" s="1"/>
  <c r="B2406" i="1"/>
  <c r="C2406" i="1" s="1"/>
  <c r="B2653" i="1"/>
  <c r="C2653" i="1" s="1"/>
  <c r="D2653" i="1" s="1"/>
  <c r="B7" i="1"/>
  <c r="C7" i="1" s="1"/>
  <c r="B1813" i="1"/>
  <c r="C1813" i="1" s="1"/>
  <c r="B2524" i="1"/>
  <c r="C2524" i="1" s="1"/>
  <c r="B2589" i="1"/>
  <c r="C2589" i="1" s="1"/>
  <c r="B1527" i="1"/>
  <c r="C1527" i="1" s="1"/>
  <c r="B552" i="1"/>
  <c r="C552" i="1" s="1"/>
  <c r="B2429" i="1"/>
  <c r="C2429" i="1" s="1"/>
  <c r="B1408" i="1"/>
  <c r="C1408" i="1" s="1"/>
  <c r="B2060" i="1"/>
  <c r="C2060" i="1" s="1"/>
  <c r="B1990" i="1"/>
  <c r="C1990" i="1" s="1"/>
  <c r="B2390" i="1"/>
  <c r="C2390" i="1" s="1"/>
  <c r="B648" i="1"/>
  <c r="C648" i="1" s="1"/>
  <c r="B379" i="1"/>
  <c r="C379" i="1" s="1"/>
  <c r="B1871" i="1"/>
  <c r="C1871" i="1" s="1"/>
  <c r="B2139" i="1"/>
  <c r="C2139" i="1" s="1"/>
  <c r="B2838" i="1"/>
  <c r="C2838" i="1" s="1"/>
  <c r="B1345" i="1"/>
  <c r="C1345" i="1" s="1"/>
  <c r="B386" i="1"/>
  <c r="C386" i="1" s="1"/>
  <c r="B1329" i="1"/>
  <c r="C1329" i="1" s="1"/>
  <c r="B1194" i="1"/>
  <c r="C1194" i="1" s="1"/>
  <c r="B677" i="1"/>
  <c r="C677" i="1" s="1"/>
  <c r="B1767" i="1"/>
  <c r="C1767" i="1" s="1"/>
  <c r="B1612" i="1"/>
  <c r="C1612" i="1" s="1"/>
  <c r="B1411" i="1"/>
  <c r="C1411" i="1" s="1"/>
  <c r="B2176" i="1"/>
  <c r="C2176" i="1" s="1"/>
  <c r="B70" i="1"/>
  <c r="C70" i="1" s="1"/>
  <c r="B1163" i="1"/>
  <c r="C1163" i="1" s="1"/>
  <c r="B2463" i="1"/>
  <c r="C2463" i="1" s="1"/>
  <c r="B1590" i="1"/>
  <c r="C1590" i="1" s="1"/>
  <c r="B2640" i="1"/>
  <c r="C2640" i="1" s="1"/>
  <c r="B2306" i="1"/>
  <c r="C2306" i="1" s="1"/>
  <c r="B2380" i="1"/>
  <c r="C2380" i="1" s="1"/>
  <c r="B1236" i="1"/>
  <c r="C1236" i="1" s="1"/>
  <c r="B907" i="1"/>
  <c r="C907" i="1" s="1"/>
  <c r="B2946" i="1"/>
  <c r="C2946" i="1" s="1"/>
  <c r="B2508" i="1"/>
  <c r="C2508" i="1" s="1"/>
  <c r="B239" i="1"/>
  <c r="C239" i="1" s="1"/>
  <c r="B2647" i="1"/>
  <c r="C2647" i="1" s="1"/>
  <c r="B1431" i="1"/>
  <c r="C1431" i="1" s="1"/>
  <c r="B1575" i="1"/>
  <c r="C1575" i="1" s="1"/>
  <c r="B1255" i="1"/>
  <c r="C1255" i="1" s="1"/>
  <c r="B94" i="1"/>
  <c r="C94" i="1" s="1"/>
  <c r="B410" i="1"/>
  <c r="C410" i="1" s="1"/>
  <c r="B1181" i="1"/>
  <c r="C1181" i="1" s="1"/>
  <c r="B2414" i="1"/>
  <c r="C2414" i="1" s="1"/>
  <c r="B1700" i="1"/>
  <c r="C1700" i="1" s="1"/>
  <c r="B2765" i="1"/>
  <c r="C2765" i="1" s="1"/>
  <c r="B733" i="1"/>
  <c r="C733" i="1" s="1"/>
  <c r="B113" i="1"/>
  <c r="C113" i="1" s="1"/>
  <c r="B2462" i="1"/>
  <c r="C2462" i="1" s="1"/>
  <c r="B125" i="1"/>
  <c r="C125" i="1" s="1"/>
  <c r="B798" i="1"/>
  <c r="C798" i="1" s="1"/>
  <c r="B27" i="1"/>
  <c r="C27" i="1" s="1"/>
  <c r="B261" i="1"/>
  <c r="C261" i="1" s="1"/>
  <c r="B1207" i="1"/>
  <c r="C1207" i="1" s="1"/>
  <c r="B192" i="1"/>
  <c r="C192" i="1" s="1"/>
  <c r="B1195" i="1"/>
  <c r="C1195" i="1" s="1"/>
  <c r="B741" i="1"/>
  <c r="C741" i="1" s="1"/>
  <c r="B1227" i="1"/>
  <c r="C1227" i="1" s="1"/>
  <c r="B2353" i="1"/>
  <c r="C2353" i="1" s="1"/>
  <c r="B2771" i="1"/>
  <c r="C2771" i="1" s="1"/>
  <c r="B1356" i="1"/>
  <c r="C1356" i="1" s="1"/>
  <c r="B2222" i="1"/>
  <c r="C2222" i="1" s="1"/>
  <c r="B1369" i="1"/>
  <c r="C1369" i="1" s="1"/>
  <c r="B714" i="1"/>
  <c r="C714" i="1" s="1"/>
  <c r="B1687" i="1"/>
  <c r="C1687" i="1" s="1"/>
  <c r="B2256" i="1"/>
  <c r="C2256" i="1" s="1"/>
  <c r="B34" i="1"/>
  <c r="C34" i="1" s="1"/>
  <c r="B777" i="1"/>
  <c r="C777" i="1" s="1"/>
  <c r="B2113" i="1"/>
  <c r="C2113" i="1" s="1"/>
  <c r="B1718" i="1"/>
  <c r="C1718" i="1" s="1"/>
  <c r="B1286" i="1"/>
  <c r="C1286" i="1" s="1"/>
  <c r="B461" i="1"/>
  <c r="C461" i="1" s="1"/>
  <c r="M26" i="51"/>
  <c r="R26" i="51" s="1"/>
  <c r="W26" i="51" s="1"/>
  <c r="AG26" i="51" s="1"/>
  <c r="N20" i="51"/>
  <c r="S20" i="51" s="1"/>
  <c r="X20" i="51" s="1"/>
  <c r="AH20" i="51" s="1"/>
  <c r="L23" i="51"/>
  <c r="Q23" i="51" s="1"/>
  <c r="V23" i="51" s="1"/>
  <c r="K26" i="51"/>
  <c r="P26" i="51" s="1"/>
  <c r="U26" i="51" s="1"/>
  <c r="AE26" i="51" s="1"/>
  <c r="K20" i="51"/>
  <c r="P20" i="51" s="1"/>
  <c r="U20" i="51" s="1"/>
  <c r="AE20" i="51" s="1"/>
  <c r="J23" i="51"/>
  <c r="O23" i="51" s="1"/>
  <c r="T23" i="51" s="1"/>
  <c r="AD23" i="51" s="1"/>
  <c r="N23" i="51"/>
  <c r="S23" i="51" s="1"/>
  <c r="X23" i="51" s="1"/>
  <c r="AH23" i="51" s="1"/>
  <c r="L20" i="51"/>
  <c r="Q20" i="51" s="1"/>
  <c r="U43" i="47"/>
  <c r="J29" i="51"/>
  <c r="O29" i="51" s="1"/>
  <c r="M29" i="51"/>
  <c r="R29" i="51" s="1"/>
  <c r="W29" i="51" s="1"/>
  <c r="AG29" i="51" s="1"/>
  <c r="K29" i="51"/>
  <c r="P29" i="51" s="1"/>
  <c r="U29" i="51" s="1"/>
  <c r="AE29" i="51" s="1"/>
  <c r="N29" i="51"/>
  <c r="S29" i="51" s="1"/>
  <c r="X29" i="51" s="1"/>
  <c r="AH29" i="51" s="1"/>
  <c r="L29" i="51"/>
  <c r="Q29" i="51" s="1"/>
  <c r="V29" i="51" s="1"/>
  <c r="AF29" i="51" s="1"/>
  <c r="J24" i="51"/>
  <c r="O24" i="51" s="1"/>
  <c r="T24" i="51" s="1"/>
  <c r="AD24" i="51" s="1"/>
  <c r="L24" i="51"/>
  <c r="Q24" i="51" s="1"/>
  <c r="V24" i="51" s="1"/>
  <c r="AF24" i="51" s="1"/>
  <c r="K24" i="51"/>
  <c r="P24" i="51" s="1"/>
  <c r="U24" i="51" s="1"/>
  <c r="AE24" i="51" s="1"/>
  <c r="M24" i="51"/>
  <c r="R24" i="51" s="1"/>
  <c r="W24" i="51" s="1"/>
  <c r="AG24" i="51" s="1"/>
  <c r="AB65" i="47"/>
  <c r="B2899" i="1"/>
  <c r="C2899" i="1" s="1"/>
  <c r="B1506" i="1"/>
  <c r="C1506" i="1" s="1"/>
  <c r="B2036" i="1"/>
  <c r="C2036" i="1" s="1"/>
  <c r="B1898" i="1"/>
  <c r="C1898" i="1" s="1"/>
  <c r="B2161" i="1"/>
  <c r="C2161" i="1" s="1"/>
  <c r="B885" i="1"/>
  <c r="C885" i="1" s="1"/>
  <c r="B2408" i="1"/>
  <c r="C2408" i="1" s="1"/>
  <c r="B1205" i="1"/>
  <c r="C1205" i="1" s="1"/>
  <c r="B1100" i="1"/>
  <c r="C1100" i="1" s="1"/>
  <c r="B2043" i="1"/>
  <c r="C2043" i="1" s="1"/>
  <c r="B101" i="1"/>
  <c r="C101" i="1" s="1"/>
  <c r="B1630" i="1"/>
  <c r="C1630" i="1" s="1"/>
  <c r="B2340" i="1"/>
  <c r="C2340" i="1" s="1"/>
  <c r="B2141" i="1"/>
  <c r="C2141" i="1" s="1"/>
  <c r="B2631" i="1"/>
  <c r="C2631" i="1" s="1"/>
  <c r="B178" i="1"/>
  <c r="C178" i="1" s="1"/>
  <c r="B430" i="1"/>
  <c r="C430" i="1" s="1"/>
  <c r="B1536" i="1"/>
  <c r="C1536" i="1" s="1"/>
  <c r="B2959" i="1"/>
  <c r="C2959" i="1" s="1"/>
  <c r="B2280" i="1"/>
  <c r="C2280" i="1" s="1"/>
  <c r="B1531" i="1"/>
  <c r="C1531" i="1" s="1"/>
  <c r="B2026" i="1"/>
  <c r="C2026" i="1" s="1"/>
  <c r="B130" i="1"/>
  <c r="C130" i="1" s="1"/>
  <c r="B598" i="1"/>
  <c r="C598" i="1" s="1"/>
  <c r="B2389" i="1"/>
  <c r="C2389" i="1" s="1"/>
  <c r="B2204" i="1"/>
  <c r="C2204" i="1" s="1"/>
  <c r="B1655" i="1"/>
  <c r="C1655" i="1" s="1"/>
  <c r="B133" i="1"/>
  <c r="C133" i="1" s="1"/>
  <c r="B1873" i="1"/>
  <c r="C1873" i="1" s="1"/>
  <c r="B415" i="1"/>
  <c r="C415" i="1" s="1"/>
  <c r="B1720" i="1"/>
  <c r="C1720" i="1" s="1"/>
  <c r="B2157" i="1"/>
  <c r="C2157" i="1" s="1"/>
  <c r="B2660" i="1"/>
  <c r="C2660" i="1" s="1"/>
  <c r="B284" i="1"/>
  <c r="C284" i="1" s="1"/>
  <c r="B1466" i="1"/>
  <c r="C1466" i="1" s="1"/>
  <c r="B2780" i="1"/>
  <c r="C2780" i="1" s="1"/>
  <c r="B2274" i="1"/>
  <c r="C2274" i="1" s="1"/>
  <c r="B1489" i="1"/>
  <c r="C1489" i="1" s="1"/>
  <c r="B2857" i="1"/>
  <c r="C2857" i="1" s="1"/>
  <c r="B855" i="1"/>
  <c r="C855" i="1" s="1"/>
  <c r="B2794" i="1"/>
  <c r="C2794" i="1" s="1"/>
  <c r="B2181" i="1"/>
  <c r="C2181" i="1" s="1"/>
  <c r="B2453" i="1"/>
  <c r="C2453" i="1" s="1"/>
  <c r="B2766" i="1"/>
  <c r="C2766" i="1" s="1"/>
  <c r="B2122" i="1"/>
  <c r="C2122" i="1" s="1"/>
  <c r="B1682" i="1"/>
  <c r="C1682" i="1" s="1"/>
  <c r="B1664" i="1"/>
  <c r="C1664" i="1" s="1"/>
  <c r="B1474" i="1"/>
  <c r="C1474" i="1" s="1"/>
  <c r="B2316" i="1"/>
  <c r="C2316" i="1" s="1"/>
  <c r="B1269" i="1"/>
  <c r="C1269" i="1" s="1"/>
  <c r="B1869" i="1"/>
  <c r="C1869" i="1" s="1"/>
  <c r="B2112" i="1"/>
  <c r="C2112" i="1" s="1"/>
  <c r="B1529" i="1"/>
  <c r="C1529" i="1" s="1"/>
  <c r="B482" i="1"/>
  <c r="C482" i="1" s="1"/>
  <c r="B2388" i="1"/>
  <c r="C2388" i="1" s="1"/>
  <c r="B367" i="1"/>
  <c r="C367" i="1" s="1"/>
  <c r="B1872" i="1"/>
  <c r="C1872" i="1" s="1"/>
  <c r="B320" i="1"/>
  <c r="C320" i="1" s="1"/>
  <c r="B514" i="1"/>
  <c r="C514" i="1" s="1"/>
  <c r="B1919" i="1"/>
  <c r="C1919" i="1" s="1"/>
  <c r="B1649" i="1"/>
  <c r="C1649" i="1" s="1"/>
  <c r="B434" i="1"/>
  <c r="C434" i="1" s="1"/>
  <c r="B1887" i="1"/>
  <c r="C1887" i="1" s="1"/>
  <c r="B1449" i="1"/>
  <c r="C1449" i="1" s="1"/>
  <c r="B122" i="1"/>
  <c r="C122" i="1" s="1"/>
  <c r="B2229" i="1"/>
  <c r="C2229" i="1" s="1"/>
  <c r="B2740" i="1"/>
  <c r="C2740" i="1" s="1"/>
  <c r="B1955" i="1"/>
  <c r="C1955" i="1" s="1"/>
  <c r="B1606" i="1"/>
  <c r="C1606" i="1" s="1"/>
  <c r="B2851" i="1"/>
  <c r="C2851" i="1" s="1"/>
  <c r="B1064" i="1"/>
  <c r="C1064" i="1" s="1"/>
  <c r="B1338" i="1"/>
  <c r="C1338" i="1" s="1"/>
  <c r="B895" i="1"/>
  <c r="C895" i="1" s="1"/>
  <c r="B2014" i="1"/>
  <c r="C2014" i="1" s="1"/>
  <c r="B2396" i="1"/>
  <c r="C2396" i="1" s="1"/>
  <c r="B2663" i="1"/>
  <c r="C2663" i="1" s="1"/>
  <c r="B663" i="1"/>
  <c r="C663" i="1" s="1"/>
  <c r="B2706" i="1"/>
  <c r="C2706" i="1" s="1"/>
  <c r="B1703" i="1"/>
  <c r="C1703" i="1" s="1"/>
  <c r="B2553" i="1"/>
  <c r="C2553" i="1" s="1"/>
  <c r="B1768" i="1"/>
  <c r="C1768" i="1" s="1"/>
  <c r="B1841" i="1"/>
  <c r="C1841" i="1" s="1"/>
  <c r="B1482" i="1"/>
  <c r="C1482" i="1" s="1"/>
  <c r="B787" i="1"/>
  <c r="C787" i="1" s="1"/>
  <c r="B743" i="1"/>
  <c r="C743" i="1" s="1"/>
  <c r="B1258" i="1"/>
  <c r="C1258" i="1" s="1"/>
  <c r="B2805" i="1"/>
  <c r="C2805" i="1" s="1"/>
  <c r="B557" i="1"/>
  <c r="C557" i="1" s="1"/>
  <c r="B846" i="1"/>
  <c r="C846" i="1" s="1"/>
  <c r="B1771" i="1"/>
  <c r="C1771" i="1" s="1"/>
  <c r="B443" i="1"/>
  <c r="C443" i="1" s="1"/>
  <c r="B2144" i="1"/>
  <c r="C2144" i="1" s="1"/>
  <c r="B2304" i="1"/>
  <c r="C2304" i="1" s="1"/>
  <c r="B1577" i="1"/>
  <c r="C1577" i="1" s="1"/>
  <c r="B1803" i="1"/>
  <c r="C1803" i="1" s="1"/>
  <c r="B691" i="1"/>
  <c r="C691" i="1" s="1"/>
  <c r="B1140" i="1"/>
  <c r="C1140" i="1" s="1"/>
  <c r="B510" i="1"/>
  <c r="C510" i="1" s="1"/>
  <c r="B879" i="1"/>
  <c r="C879" i="1" s="1"/>
  <c r="B653" i="1"/>
  <c r="C653" i="1" s="1"/>
  <c r="B983" i="1"/>
  <c r="C983" i="1" s="1"/>
  <c r="B505" i="1"/>
  <c r="C505" i="1" s="1"/>
  <c r="B2756" i="1"/>
  <c r="C2756" i="1" s="1"/>
  <c r="B399" i="1"/>
  <c r="C399" i="1" s="1"/>
  <c r="B2210" i="1"/>
  <c r="C2210" i="1" s="1"/>
  <c r="B1566" i="1"/>
  <c r="C1566" i="1" s="1"/>
  <c r="B1860" i="1"/>
  <c r="C1860" i="1" s="1"/>
  <c r="B2613" i="1"/>
  <c r="C2613" i="1" s="1"/>
  <c r="B2395" i="1"/>
  <c r="C2395" i="1" s="1"/>
  <c r="B680" i="1"/>
  <c r="C680" i="1" s="1"/>
  <c r="B746" i="1"/>
  <c r="C746" i="1" s="1"/>
  <c r="B1624" i="1"/>
  <c r="C1624" i="1" s="1"/>
  <c r="B328" i="1"/>
  <c r="C328" i="1" s="1"/>
  <c r="B2566" i="1"/>
  <c r="C2566" i="1" s="1"/>
  <c r="B889" i="1"/>
  <c r="C889" i="1" s="1"/>
  <c r="B2801" i="1"/>
  <c r="C2801" i="1" s="1"/>
  <c r="B347" i="1"/>
  <c r="C347" i="1" s="1"/>
  <c r="B2018" i="1"/>
  <c r="C2018" i="1" s="1"/>
  <c r="B2764" i="1"/>
  <c r="C2764" i="1" s="1"/>
  <c r="B378" i="1"/>
  <c r="C378" i="1" s="1"/>
  <c r="B2478" i="1"/>
  <c r="C2478" i="1" s="1"/>
  <c r="B394" i="1"/>
  <c r="C394" i="1" s="1"/>
  <c r="B711" i="1"/>
  <c r="C711" i="1" s="1"/>
  <c r="B729" i="1"/>
  <c r="C729" i="1" s="1"/>
  <c r="B2696" i="1"/>
  <c r="C2696" i="1" s="1"/>
  <c r="B650" i="1"/>
  <c r="C650" i="1" s="1"/>
  <c r="B2567" i="1"/>
  <c r="C2567" i="1" s="1"/>
  <c r="B1085" i="1"/>
  <c r="C1085" i="1" s="1"/>
  <c r="B2963" i="1"/>
  <c r="C2963" i="1" s="1"/>
  <c r="B371" i="1"/>
  <c r="C371" i="1" s="1"/>
  <c r="B2562" i="1"/>
  <c r="C2562" i="1" s="1"/>
  <c r="B312" i="1"/>
  <c r="C312" i="1" s="1"/>
  <c r="B2276" i="1"/>
  <c r="C2276" i="1" s="1"/>
  <c r="B1300" i="1"/>
  <c r="C1300" i="1" s="1"/>
  <c r="B2394" i="1"/>
  <c r="C2394" i="1" s="1"/>
  <c r="B1171" i="1"/>
  <c r="C1171" i="1" s="1"/>
  <c r="B2039" i="1"/>
  <c r="C2039" i="1" s="1"/>
  <c r="B1707" i="1"/>
  <c r="C1707" i="1" s="1"/>
  <c r="B1070" i="1"/>
  <c r="C1070" i="1" s="1"/>
  <c r="B2923" i="1"/>
  <c r="C2923" i="1" s="1"/>
  <c r="B1745" i="1"/>
  <c r="C1745" i="1" s="1"/>
  <c r="B682" i="1"/>
  <c r="C682" i="1" s="1"/>
  <c r="B2341" i="1"/>
  <c r="C2341" i="1" s="1"/>
  <c r="B2489" i="1"/>
  <c r="C2489" i="1" s="1"/>
  <c r="B2325" i="1"/>
  <c r="C2325" i="1" s="1"/>
  <c r="B1393" i="1"/>
  <c r="C1393" i="1" s="1"/>
  <c r="B1934" i="1"/>
  <c r="C1934" i="1" s="1"/>
  <c r="B1627" i="1"/>
  <c r="C1627" i="1" s="1"/>
  <c r="B2247" i="1"/>
  <c r="C2247" i="1" s="1"/>
  <c r="B1985" i="1"/>
  <c r="C1985" i="1" s="1"/>
  <c r="B2519" i="1"/>
  <c r="C2519" i="1" s="1"/>
  <c r="B2213" i="1"/>
  <c r="C2213" i="1" s="1"/>
  <c r="B2998" i="1"/>
  <c r="C2998" i="1" s="1"/>
  <c r="B2216" i="1"/>
  <c r="C2216" i="1" s="1"/>
  <c r="B2778" i="1"/>
  <c r="C2778" i="1" s="1"/>
  <c r="B908" i="1"/>
  <c r="C908" i="1" s="1"/>
  <c r="B1111" i="1"/>
  <c r="C1111" i="1" s="1"/>
  <c r="B2779" i="1"/>
  <c r="C2779" i="1" s="1"/>
  <c r="B1738" i="1"/>
  <c r="C1738" i="1" s="1"/>
  <c r="B702" i="1"/>
  <c r="C702" i="1" s="1"/>
  <c r="B1870" i="1"/>
  <c r="C1870" i="1" s="1"/>
  <c r="B1109" i="1"/>
  <c r="C1109" i="1" s="1"/>
  <c r="B2523" i="1"/>
  <c r="C2523" i="1" s="1"/>
  <c r="B2364" i="1"/>
  <c r="C2364" i="1" s="1"/>
  <c r="B2442" i="1"/>
  <c r="C2442" i="1" s="1"/>
  <c r="B2554" i="1"/>
  <c r="C2554" i="1" s="1"/>
  <c r="B1714" i="1"/>
  <c r="C1714" i="1" s="1"/>
  <c r="B2419" i="1"/>
  <c r="C2419" i="1" s="1"/>
  <c r="B659" i="1"/>
  <c r="C659" i="1" s="1"/>
  <c r="B1305" i="1"/>
  <c r="C1305" i="1" s="1"/>
  <c r="B29" i="1"/>
  <c r="C29" i="1" s="1"/>
  <c r="B235" i="1"/>
  <c r="C235" i="1" s="1"/>
  <c r="B2713" i="1"/>
  <c r="C2713" i="1" s="1"/>
  <c r="B585" i="1"/>
  <c r="C585" i="1" s="1"/>
  <c r="B896" i="1"/>
  <c r="C896" i="1" s="1"/>
  <c r="B2220" i="1"/>
  <c r="C2220" i="1" s="1"/>
  <c r="B1818" i="1"/>
  <c r="C1818" i="1" s="1"/>
  <c r="B1846" i="1"/>
  <c r="C1846" i="1" s="1"/>
  <c r="B2332" i="1"/>
  <c r="C2332" i="1" s="1"/>
  <c r="B651" i="1"/>
  <c r="C651" i="1" s="1"/>
  <c r="B1038" i="1"/>
  <c r="C1038" i="1" s="1"/>
  <c r="B19" i="1"/>
  <c r="C19" i="1" s="1"/>
  <c r="B517" i="1"/>
  <c r="C517" i="1" s="1"/>
  <c r="B2891" i="1"/>
  <c r="C2891" i="1" s="1"/>
  <c r="B1534" i="1"/>
  <c r="C1534" i="1" s="1"/>
  <c r="B1460" i="1"/>
  <c r="C1460" i="1" s="1"/>
  <c r="B705" i="1"/>
  <c r="C705" i="1" s="1"/>
  <c r="B2055" i="1"/>
  <c r="C2055" i="1" s="1"/>
  <c r="B2103" i="1"/>
  <c r="C2103" i="1" s="1"/>
  <c r="B1653" i="1"/>
  <c r="C1653" i="1" s="1"/>
  <c r="B1139" i="1"/>
  <c r="C1139" i="1" s="1"/>
  <c r="B2496" i="1"/>
  <c r="C2496" i="1" s="1"/>
  <c r="B1861" i="1"/>
  <c r="C1861" i="1" s="1"/>
  <c r="B75" i="1"/>
  <c r="C75" i="1" s="1"/>
  <c r="B2457" i="1"/>
  <c r="C2457" i="1" s="1"/>
  <c r="B2593" i="1"/>
  <c r="C2593" i="1" s="1"/>
  <c r="B1578" i="1"/>
  <c r="C1578" i="1" s="1"/>
  <c r="B1355" i="1"/>
  <c r="C1355" i="1" s="1"/>
  <c r="B49" i="1"/>
  <c r="C49" i="1" s="1"/>
  <c r="B2659" i="1"/>
  <c r="C2659" i="1" s="1"/>
  <c r="B317" i="1"/>
  <c r="C317" i="1" s="1"/>
  <c r="B426" i="1"/>
  <c r="C426" i="1" s="1"/>
  <c r="B110" i="1"/>
  <c r="C110" i="1" s="1"/>
  <c r="B1304" i="1"/>
  <c r="C1304" i="1" s="1"/>
  <c r="B479" i="1"/>
  <c r="C479" i="1" s="1"/>
  <c r="B2271" i="1"/>
  <c r="C2271" i="1" s="1"/>
  <c r="B1762" i="1"/>
  <c r="C1762" i="1" s="1"/>
  <c r="B2642" i="1"/>
  <c r="C2642" i="1" s="1"/>
  <c r="B1349" i="1"/>
  <c r="C1349" i="1" s="1"/>
  <c r="B2705" i="1"/>
  <c r="C2705" i="1" s="1"/>
  <c r="B1296" i="1"/>
  <c r="C1296" i="1" s="1"/>
  <c r="B2683" i="1"/>
  <c r="C2683" i="1" s="1"/>
  <c r="B2320" i="1"/>
  <c r="C2320" i="1" s="1"/>
  <c r="B1935" i="1"/>
  <c r="C1935" i="1" s="1"/>
  <c r="B145" i="1"/>
  <c r="C145" i="1" s="1"/>
  <c r="B2677" i="1"/>
  <c r="C2677" i="1" s="1"/>
  <c r="B2351" i="1"/>
  <c r="C2351" i="1" s="1"/>
  <c r="B1066" i="1"/>
  <c r="C1066" i="1" s="1"/>
  <c r="B1694" i="1"/>
  <c r="C1694" i="1" s="1"/>
  <c r="B2153" i="1"/>
  <c r="C2153" i="1" s="1"/>
  <c r="B198" i="1"/>
  <c r="C198" i="1" s="1"/>
  <c r="B671" i="1"/>
  <c r="C671" i="1" s="1"/>
  <c r="B206" i="1"/>
  <c r="C206" i="1" s="1"/>
  <c r="B492" i="1"/>
  <c r="C492" i="1" s="1"/>
  <c r="B1232" i="1"/>
  <c r="C1232" i="1" s="1"/>
  <c r="B2459" i="1"/>
  <c r="C2459" i="1" s="1"/>
  <c r="B2930" i="1"/>
  <c r="C2930" i="1" s="1"/>
  <c r="B1410" i="1"/>
  <c r="C1410" i="1" s="1"/>
  <c r="B1622" i="1"/>
  <c r="C1622" i="1" s="1"/>
  <c r="B1447" i="1"/>
  <c r="C1447" i="1" s="1"/>
  <c r="B2372" i="1"/>
  <c r="C2372" i="1" s="1"/>
  <c r="B1758" i="1"/>
  <c r="C1758" i="1" s="1"/>
  <c r="B1218" i="1"/>
  <c r="C1218" i="1" s="1"/>
  <c r="B223" i="1"/>
  <c r="C223" i="1" s="1"/>
  <c r="B139" i="1"/>
  <c r="C139" i="1" s="1"/>
  <c r="B1645" i="1"/>
  <c r="C1645" i="1" s="1"/>
  <c r="B453" i="1"/>
  <c r="C453" i="1" s="1"/>
  <c r="B943" i="1"/>
  <c r="C943" i="1" s="1"/>
  <c r="B11" i="1"/>
  <c r="C11" i="1" s="1"/>
  <c r="B730" i="1"/>
  <c r="C730" i="1" s="1"/>
  <c r="B748" i="1"/>
  <c r="C748" i="1" s="1"/>
  <c r="B1200" i="1"/>
  <c r="C1200" i="1" s="1"/>
  <c r="B1486" i="1"/>
  <c r="C1486" i="1" s="1"/>
  <c r="B1799" i="1"/>
  <c r="C1799" i="1" s="1"/>
  <c r="B2266" i="1"/>
  <c r="C2266" i="1" s="1"/>
  <c r="B1888" i="1"/>
  <c r="C1888" i="1" s="1"/>
  <c r="B1141" i="1"/>
  <c r="C1141" i="1" s="1"/>
  <c r="B1559" i="1"/>
  <c r="C1559" i="1" s="1"/>
  <c r="B2945" i="1"/>
  <c r="C2945" i="1" s="1"/>
  <c r="B2077" i="1"/>
  <c r="C2077" i="1" s="1"/>
  <c r="B2465" i="1"/>
  <c r="C2465" i="1" s="1"/>
  <c r="B169" i="1"/>
  <c r="C169" i="1" s="1"/>
  <c r="B871" i="1"/>
  <c r="C871" i="1" s="1"/>
  <c r="B542" i="1"/>
  <c r="C542" i="1" s="1"/>
  <c r="B1273" i="1"/>
  <c r="C1273" i="1" s="1"/>
  <c r="B1946" i="1"/>
  <c r="C1946" i="1" s="1"/>
  <c r="B1034" i="1"/>
  <c r="C1034" i="1" s="1"/>
  <c r="B1480" i="1"/>
  <c r="C1480" i="1" s="1"/>
  <c r="B587" i="1"/>
  <c r="C587" i="1" s="1"/>
  <c r="B1479" i="1"/>
  <c r="C1479" i="1" s="1"/>
  <c r="B2956" i="1"/>
  <c r="C2956" i="1" s="1"/>
  <c r="B600" i="1"/>
  <c r="C600" i="1" s="1"/>
  <c r="B265" i="1"/>
  <c r="C265" i="1" s="1"/>
  <c r="B1817" i="1"/>
  <c r="C1817" i="1" s="1"/>
  <c r="B1994" i="1"/>
  <c r="C1994" i="1" s="1"/>
  <c r="B2768" i="1"/>
  <c r="C2768" i="1" s="1"/>
  <c r="B2981" i="1"/>
  <c r="C2981" i="1" s="1"/>
  <c r="B1661" i="1"/>
  <c r="C1661" i="1" s="1"/>
  <c r="B626" i="1"/>
  <c r="C626" i="1" s="1"/>
  <c r="B116" i="1"/>
  <c r="C116" i="1" s="1"/>
  <c r="B1761" i="1"/>
  <c r="C1761" i="1" s="1"/>
  <c r="B400" i="1"/>
  <c r="C400" i="1" s="1"/>
  <c r="D400" i="1" s="1"/>
  <c r="B104" i="1"/>
  <c r="C104" i="1" s="1"/>
  <c r="B2710" i="1"/>
  <c r="C2710" i="1" s="1"/>
  <c r="B2786" i="1"/>
  <c r="C2786" i="1" s="1"/>
  <c r="B2907" i="1"/>
  <c r="C2907" i="1" s="1"/>
  <c r="B262" i="1"/>
  <c r="C262" i="1" s="1"/>
  <c r="B819" i="1"/>
  <c r="C819" i="1" s="1"/>
  <c r="B417" i="1"/>
  <c r="C417" i="1" s="1"/>
  <c r="B41" i="1"/>
  <c r="C41" i="1" s="1"/>
  <c r="B1148" i="1"/>
  <c r="C1148" i="1" s="1"/>
  <c r="B1778" i="1"/>
  <c r="C1778" i="1" s="1"/>
  <c r="B789" i="1"/>
  <c r="C789" i="1" s="1"/>
  <c r="B263" i="1"/>
  <c r="C263" i="1" s="1"/>
  <c r="B2813" i="1"/>
  <c r="C2813" i="1" s="1"/>
  <c r="B2988" i="1"/>
  <c r="C2988" i="1" s="1"/>
  <c r="B2384" i="1"/>
  <c r="C2384" i="1" s="1"/>
  <c r="B227" i="1"/>
  <c r="C227" i="1" s="1"/>
  <c r="B1311" i="1"/>
  <c r="C1311" i="1" s="1"/>
  <c r="B704" i="1"/>
  <c r="C704" i="1" s="1"/>
  <c r="B681" i="1"/>
  <c r="C681" i="1" s="1"/>
  <c r="B1675" i="1"/>
  <c r="C1675" i="1" s="1"/>
  <c r="B2850" i="1"/>
  <c r="C2850" i="1" s="1"/>
  <c r="B639" i="1"/>
  <c r="C639" i="1" s="1"/>
  <c r="B457" i="1"/>
  <c r="C457" i="1" s="1"/>
  <c r="B909" i="1"/>
  <c r="C909" i="1" s="1"/>
  <c r="B1959" i="1"/>
  <c r="C1959" i="1" s="1"/>
  <c r="B1271" i="1"/>
  <c r="C1271" i="1" s="1"/>
  <c r="B571" i="1"/>
  <c r="C571" i="1" s="1"/>
  <c r="B140" i="1"/>
  <c r="C140" i="1" s="1"/>
  <c r="B2952" i="1"/>
  <c r="C2952" i="1" s="1"/>
  <c r="B306" i="1"/>
  <c r="C306" i="1" s="1"/>
  <c r="B1494" i="1"/>
  <c r="C1494" i="1" s="1"/>
  <c r="B1167" i="1"/>
  <c r="C1167" i="1" s="1"/>
  <c r="B2195" i="1"/>
  <c r="C2195" i="1" s="1"/>
  <c r="B2600" i="1"/>
  <c r="C2600" i="1" s="1"/>
  <c r="B1967" i="1"/>
  <c r="C1967" i="1" s="1"/>
  <c r="B2400" i="1"/>
  <c r="C2400" i="1" s="1"/>
  <c r="B3000" i="1"/>
  <c r="C3000" i="1" s="1"/>
  <c r="B785" i="1"/>
  <c r="C785" i="1" s="1"/>
  <c r="B2527" i="1"/>
  <c r="C2527" i="1" s="1"/>
  <c r="B1155" i="1"/>
  <c r="C1155" i="1" s="1"/>
  <c r="B629" i="1"/>
  <c r="C629" i="1" s="1"/>
  <c r="B715" i="1"/>
  <c r="C715" i="1" s="1"/>
  <c r="B818" i="1"/>
  <c r="C818" i="1" s="1"/>
  <c r="B2504" i="1"/>
  <c r="C2504" i="1" s="1"/>
  <c r="B339" i="1"/>
  <c r="C339" i="1" s="1"/>
  <c r="B694" i="1"/>
  <c r="C694" i="1" s="1"/>
  <c r="B1792" i="1"/>
  <c r="C1792" i="1" s="1"/>
  <c r="B2120" i="1"/>
  <c r="C2120" i="1" s="1"/>
  <c r="B480" i="1"/>
  <c r="C480" i="1" s="1"/>
  <c r="B1208" i="1"/>
  <c r="C1208" i="1" s="1"/>
  <c r="B537" i="1"/>
  <c r="C537" i="1" s="1"/>
  <c r="B1929" i="1"/>
  <c r="C1929" i="1" s="1"/>
  <c r="B1471" i="1"/>
  <c r="C1471" i="1" s="1"/>
  <c r="B288" i="1"/>
  <c r="C288" i="1" s="1"/>
  <c r="B1826" i="1"/>
  <c r="C1826" i="1" s="1"/>
  <c r="B1883" i="1"/>
  <c r="C1883" i="1" s="1"/>
  <c r="B308" i="1"/>
  <c r="C308" i="1" s="1"/>
  <c r="B2618" i="1"/>
  <c r="C2618" i="1" s="1"/>
  <c r="B1949" i="1"/>
  <c r="C1949" i="1" s="1"/>
  <c r="B2197" i="1"/>
  <c r="C2197" i="1" s="1"/>
  <c r="B1753" i="1"/>
  <c r="C1753" i="1" s="1"/>
  <c r="B1168" i="1"/>
  <c r="C1168" i="1" s="1"/>
  <c r="B1892" i="1"/>
  <c r="C1892" i="1" s="1"/>
  <c r="B1507" i="1"/>
  <c r="C1507" i="1" s="1"/>
  <c r="B243" i="1"/>
  <c r="C243" i="1" s="1"/>
  <c r="B2707" i="1"/>
  <c r="C2707" i="1" s="1"/>
  <c r="B446" i="1"/>
  <c r="C446" i="1" s="1"/>
  <c r="B2823" i="1"/>
  <c r="C2823" i="1" s="1"/>
  <c r="B2547" i="1"/>
  <c r="C2547" i="1" s="1"/>
  <c r="B1321" i="1"/>
  <c r="C1321" i="1" s="1"/>
  <c r="B1690" i="1"/>
  <c r="C1690" i="1" s="1"/>
  <c r="B1042" i="1"/>
  <c r="C1042" i="1" s="1"/>
  <c r="B1430" i="1"/>
  <c r="C1430" i="1" s="1"/>
  <c r="B1961" i="1"/>
  <c r="C1961" i="1" s="1"/>
  <c r="B330" i="1"/>
  <c r="C330" i="1" s="1"/>
  <c r="B2678" i="1"/>
  <c r="C2678" i="1" s="1"/>
  <c r="B333" i="1"/>
  <c r="C333" i="1" s="1"/>
  <c r="B1057" i="1"/>
  <c r="C1057" i="1" s="1"/>
  <c r="B205" i="1"/>
  <c r="C205" i="1" s="1"/>
  <c r="B1775" i="1"/>
  <c r="C1775" i="1" s="1"/>
  <c r="B1470" i="1"/>
  <c r="C1470" i="1" s="1"/>
  <c r="B2315" i="1"/>
  <c r="C2315" i="1" s="1"/>
  <c r="B1188" i="1"/>
  <c r="C1188" i="1" s="1"/>
  <c r="B938" i="1"/>
  <c r="C938" i="1" s="1"/>
  <c r="B1368" i="1"/>
  <c r="C1368" i="1" s="1"/>
  <c r="B865" i="1"/>
  <c r="C865" i="1" s="1"/>
  <c r="B1045" i="1"/>
  <c r="C1045" i="1" s="1"/>
  <c r="B2745" i="1"/>
  <c r="C2745" i="1" s="1"/>
  <c r="B2469" i="1"/>
  <c r="C2469" i="1" s="1"/>
  <c r="B2731" i="1"/>
  <c r="C2731" i="1" s="1"/>
  <c r="B196" i="1"/>
  <c r="C196" i="1" s="1"/>
  <c r="B2107" i="1"/>
  <c r="C2107" i="1" s="1"/>
  <c r="B2117" i="1"/>
  <c r="C2117" i="1" s="1"/>
  <c r="B994" i="1"/>
  <c r="C994" i="1" s="1"/>
  <c r="B1052" i="1"/>
  <c r="C1052" i="1" s="1"/>
  <c r="B2798" i="1"/>
  <c r="C2798" i="1" s="1"/>
  <c r="B2969" i="1"/>
  <c r="C2969" i="1" s="1"/>
  <c r="B437" i="1"/>
  <c r="C437" i="1" s="1"/>
  <c r="B1342" i="1"/>
  <c r="C1342" i="1" s="1"/>
  <c r="B576" i="1"/>
  <c r="C576" i="1" s="1"/>
  <c r="B1533" i="1"/>
  <c r="C1533" i="1" s="1"/>
  <c r="B1587" i="1"/>
  <c r="C1587" i="1" s="1"/>
  <c r="B2751" i="1"/>
  <c r="C2751" i="1" s="1"/>
  <c r="B2873" i="1"/>
  <c r="C2873" i="1" s="1"/>
  <c r="B1124" i="1"/>
  <c r="C1124" i="1" s="1"/>
  <c r="B910" i="1"/>
  <c r="C910" i="1" s="1"/>
  <c r="B574" i="1"/>
  <c r="C574" i="1" s="1"/>
  <c r="B2673" i="1"/>
  <c r="C2673" i="1" s="1"/>
  <c r="B2722" i="1"/>
  <c r="C2722" i="1" s="1"/>
  <c r="B1126" i="1"/>
  <c r="C1126" i="1" s="1"/>
  <c r="B478" i="1"/>
  <c r="C478" i="1" s="1"/>
  <c r="B496" i="1"/>
  <c r="C496" i="1" s="1"/>
  <c r="B1418" i="1"/>
  <c r="C1418" i="1" s="1"/>
  <c r="B32" i="1"/>
  <c r="C32" i="1" s="1"/>
  <c r="B2365" i="1"/>
  <c r="C2365" i="1" s="1"/>
  <c r="B2086" i="1"/>
  <c r="C2086" i="1" s="1"/>
  <c r="B1350" i="1"/>
  <c r="C1350" i="1" s="1"/>
  <c r="B718" i="1"/>
  <c r="C718" i="1" s="1"/>
  <c r="B836" i="1"/>
  <c r="C836" i="1" s="1"/>
  <c r="B313" i="1"/>
  <c r="C313" i="1" s="1"/>
  <c r="B2460" i="1"/>
  <c r="C2460" i="1" s="1"/>
  <c r="B1647" i="1"/>
  <c r="C1647" i="1" s="1"/>
  <c r="B370" i="1"/>
  <c r="C370" i="1" s="1"/>
  <c r="B300" i="1"/>
  <c r="C300" i="1" s="1"/>
  <c r="B2610" i="1"/>
  <c r="C2610" i="1" s="1"/>
  <c r="B405" i="1"/>
  <c r="C405" i="1" s="1"/>
  <c r="B2586" i="1"/>
  <c r="C2586" i="1" s="1"/>
  <c r="B2985" i="1"/>
  <c r="C2985" i="1" s="1"/>
  <c r="B1937" i="1"/>
  <c r="C1937" i="1" s="1"/>
  <c r="B449" i="1"/>
  <c r="C449" i="1" s="1"/>
  <c r="B2728" i="1"/>
  <c r="C2728" i="1" s="1"/>
  <c r="B1191" i="1"/>
  <c r="C1191" i="1" s="1"/>
  <c r="B2476" i="1"/>
  <c r="C2476" i="1" s="1"/>
  <c r="B1701" i="1"/>
  <c r="C1701" i="1" s="1"/>
  <c r="B753" i="1"/>
  <c r="C753" i="1" s="1"/>
  <c r="B2046" i="1"/>
  <c r="C2046" i="1" s="1"/>
  <c r="B1405" i="1"/>
  <c r="C1405" i="1" s="1"/>
  <c r="B1774" i="1"/>
  <c r="C1774" i="1" s="1"/>
  <c r="B1651" i="1"/>
  <c r="C1651" i="1" s="1"/>
  <c r="B1626" i="1"/>
  <c r="C1626" i="1" s="1"/>
  <c r="B2245" i="1"/>
  <c r="C2245" i="1" s="1"/>
  <c r="B183" i="1"/>
  <c r="C183" i="1" s="1"/>
  <c r="B157" i="1"/>
  <c r="C157" i="1" s="1"/>
  <c r="B2693" i="1"/>
  <c r="C2693" i="1" s="1"/>
  <c r="B2512" i="1"/>
  <c r="C2512" i="1" s="1"/>
  <c r="B1217" i="1"/>
  <c r="C1217" i="1" s="1"/>
  <c r="B1795" i="1"/>
  <c r="C1795" i="1" s="1"/>
  <c r="B627" i="1"/>
  <c r="C627" i="1" s="1"/>
  <c r="B2089" i="1"/>
  <c r="C2089" i="1" s="1"/>
  <c r="B957" i="1"/>
  <c r="C957" i="1" s="1"/>
  <c r="B128" i="1"/>
  <c r="C128" i="1" s="1"/>
  <c r="B2825" i="1"/>
  <c r="C2825" i="1" s="1"/>
  <c r="B2102" i="1"/>
  <c r="C2102" i="1" s="1"/>
  <c r="B1222" i="1"/>
  <c r="C1222" i="1" s="1"/>
  <c r="B2067" i="1"/>
  <c r="C2067" i="1" s="1"/>
  <c r="B952" i="1"/>
  <c r="C952" i="1" s="1"/>
  <c r="B1746" i="1"/>
  <c r="C1746" i="1" s="1"/>
  <c r="B429" i="1"/>
  <c r="C429" i="1" s="1"/>
  <c r="B1825" i="1"/>
  <c r="C1825" i="1" s="1"/>
  <c r="B3004" i="1"/>
  <c r="C3004" i="1" s="1"/>
  <c r="B2164" i="1"/>
  <c r="C2164" i="1" s="1"/>
  <c r="B1918" i="1"/>
  <c r="C1918" i="1" s="1"/>
  <c r="B1592" i="1"/>
  <c r="C1592" i="1" s="1"/>
  <c r="B621" i="1"/>
  <c r="C621" i="1" s="1"/>
  <c r="B1184" i="1"/>
  <c r="C1184" i="1" s="1"/>
  <c r="B2902" i="1"/>
  <c r="C2902" i="1" s="1"/>
  <c r="B1377" i="1"/>
  <c r="C1377" i="1" s="1"/>
  <c r="B2827" i="1"/>
  <c r="C2827" i="1" s="1"/>
  <c r="B1270" i="1"/>
  <c r="C1270" i="1" s="1"/>
  <c r="B1219" i="1"/>
  <c r="C1219" i="1" s="1"/>
  <c r="B1669" i="1"/>
  <c r="C1669" i="1" s="1"/>
  <c r="B2834" i="1"/>
  <c r="C2834" i="1" s="1"/>
  <c r="B2871" i="1"/>
  <c r="C2871" i="1" s="1"/>
  <c r="B2811" i="1"/>
  <c r="C2811" i="1" s="1"/>
  <c r="B2438" i="1"/>
  <c r="C2438" i="1" s="1"/>
  <c r="B2443" i="1"/>
  <c r="C2443" i="1" s="1"/>
  <c r="B207" i="1"/>
  <c r="C207" i="1" s="1"/>
  <c r="B454" i="1"/>
  <c r="C454" i="1" s="1"/>
  <c r="B2081" i="1"/>
  <c r="C2081" i="1" s="1"/>
  <c r="B2179" i="1"/>
  <c r="C2179" i="1" s="1"/>
  <c r="B841" i="1"/>
  <c r="C841" i="1" s="1"/>
  <c r="B2488" i="1"/>
  <c r="C2488" i="1" s="1"/>
  <c r="B583" i="1"/>
  <c r="C583" i="1" s="1"/>
  <c r="B1022" i="1"/>
  <c r="C1022" i="1" s="1"/>
  <c r="B1834" i="1"/>
  <c r="C1834" i="1" s="1"/>
  <c r="B764" i="1"/>
  <c r="C764" i="1" s="1"/>
  <c r="B1814" i="1"/>
  <c r="C1814" i="1" s="1"/>
  <c r="B1594" i="1"/>
  <c r="C1594" i="1" s="1"/>
  <c r="B2509" i="1"/>
  <c r="C2509" i="1" s="1"/>
  <c r="D2510" i="1" s="1"/>
  <c r="B1082" i="1"/>
  <c r="C1082" i="1" s="1"/>
  <c r="B1453" i="1"/>
  <c r="C1453" i="1" s="1"/>
  <c r="B534" i="1"/>
  <c r="C534" i="1" s="1"/>
  <c r="B1429" i="1"/>
  <c r="C1429" i="1" s="1"/>
  <c r="B301" i="1"/>
  <c r="C301" i="1" s="1"/>
  <c r="B95" i="1"/>
  <c r="C95" i="1" s="1"/>
  <c r="B1015" i="1"/>
  <c r="C1015" i="1" s="1"/>
  <c r="B472" i="1"/>
  <c r="C472" i="1" s="1"/>
  <c r="B2466" i="1"/>
  <c r="C2466" i="1" s="1"/>
  <c r="B790" i="1"/>
  <c r="C790" i="1" s="1"/>
  <c r="B172" i="1"/>
  <c r="C172" i="1" s="1"/>
  <c r="B2492" i="1"/>
  <c r="C2492" i="1" s="1"/>
  <c r="B645" i="1"/>
  <c r="C645" i="1" s="1"/>
  <c r="B105" i="1"/>
  <c r="C105" i="1" s="1"/>
  <c r="B863" i="1"/>
  <c r="C863" i="1" s="1"/>
  <c r="B1436" i="1"/>
  <c r="C1436" i="1" s="1"/>
  <c r="B411" i="1"/>
  <c r="C411" i="1" s="1"/>
  <c r="B1231" i="1"/>
  <c r="C1231" i="1" s="1"/>
  <c r="B1374" i="1"/>
  <c r="C1374" i="1" s="1"/>
  <c r="B1413" i="1"/>
  <c r="C1413" i="1" s="1"/>
  <c r="B2676" i="1"/>
  <c r="C2676" i="1" s="1"/>
  <c r="B523" i="1"/>
  <c r="C523" i="1" s="1"/>
  <c r="B455" i="1"/>
  <c r="C455" i="1" s="1"/>
  <c r="B359" i="1"/>
  <c r="C359" i="1" s="1"/>
  <c r="B120" i="1"/>
  <c r="C120" i="1" s="1"/>
  <c r="B809" i="1"/>
  <c r="C809" i="1" s="1"/>
  <c r="B304" i="1"/>
  <c r="C304" i="1" s="1"/>
  <c r="B1351" i="1"/>
  <c r="C1351" i="1" s="1"/>
  <c r="B81" i="1"/>
  <c r="C81" i="1" s="1"/>
  <c r="B1452" i="1"/>
  <c r="C1452" i="1" s="1"/>
  <c r="B1584" i="1"/>
  <c r="C1584" i="1" s="1"/>
  <c r="B380" i="1"/>
  <c r="C380" i="1" s="1"/>
  <c r="B2275" i="1"/>
  <c r="C2275" i="1" s="1"/>
  <c r="B796" i="1"/>
  <c r="C796" i="1" s="1"/>
  <c r="B2427" i="1"/>
  <c r="C2427" i="1" s="1"/>
  <c r="B1537" i="1"/>
  <c r="C1537" i="1" s="1"/>
  <c r="B1731" i="1"/>
  <c r="C1731" i="1" s="1"/>
  <c r="B255" i="1"/>
  <c r="C255" i="1" s="1"/>
  <c r="B2137" i="1"/>
  <c r="C2137" i="1" s="1"/>
  <c r="B2950" i="1"/>
  <c r="C2950" i="1" s="1"/>
  <c r="B1263" i="1"/>
  <c r="C1263" i="1" s="1"/>
  <c r="B752" i="1"/>
  <c r="C752" i="1" s="1"/>
  <c r="B1358" i="1"/>
  <c r="C1358" i="1" s="1"/>
  <c r="B2318" i="1"/>
  <c r="C2318" i="1" s="1"/>
  <c r="B2897" i="1"/>
  <c r="C2897" i="1" s="1"/>
  <c r="B508" i="1"/>
  <c r="C508" i="1" s="1"/>
  <c r="B2047" i="1"/>
  <c r="C2047" i="1" s="1"/>
  <c r="B2011" i="1"/>
  <c r="C2011" i="1" s="1"/>
  <c r="B2182" i="1"/>
  <c r="C2182" i="1" s="1"/>
  <c r="B933" i="1"/>
  <c r="C933" i="1" s="1"/>
  <c r="B1071" i="1"/>
  <c r="C1071" i="1" s="1"/>
  <c r="B773" i="1"/>
  <c r="C773" i="1" s="1"/>
  <c r="B176" i="1"/>
  <c r="C176" i="1" s="1"/>
  <c r="B1569" i="1"/>
  <c r="C1569" i="1" s="1"/>
  <c r="B1678" i="1"/>
  <c r="C1678" i="1" s="1"/>
  <c r="B549" i="1"/>
  <c r="C549" i="1" s="1"/>
  <c r="B923" i="1"/>
  <c r="C923" i="1" s="1"/>
  <c r="B1579" i="1"/>
  <c r="C1579" i="1" s="1"/>
  <c r="B1779" i="1"/>
  <c r="C1779" i="1" s="1"/>
  <c r="B287" i="1"/>
  <c r="C287" i="1" s="1"/>
  <c r="B2750" i="1"/>
  <c r="C2750" i="1" s="1"/>
  <c r="B737" i="1"/>
  <c r="C737" i="1" s="1"/>
  <c r="B606" i="1"/>
  <c r="C606" i="1" s="1"/>
  <c r="B1620" i="1"/>
  <c r="C1620" i="1" s="1"/>
  <c r="B228" i="1"/>
  <c r="C228" i="1" s="1"/>
  <c r="B1986" i="1"/>
  <c r="C1986" i="1" s="1"/>
  <c r="B870" i="1"/>
  <c r="C870" i="1" s="1"/>
  <c r="B2607" i="1"/>
  <c r="C2607" i="1" s="1"/>
  <c r="B580" i="1"/>
  <c r="C580" i="1" s="1"/>
  <c r="B2925" i="1"/>
  <c r="C2925" i="1" s="1"/>
  <c r="B341" i="1"/>
  <c r="C341" i="1" s="1"/>
  <c r="B1081" i="1"/>
  <c r="C1081" i="1" s="1"/>
  <c r="B2482" i="1"/>
  <c r="C2482" i="1" s="1"/>
  <c r="B362" i="1"/>
  <c r="C362" i="1" s="1"/>
  <c r="B2398" i="1"/>
  <c r="C2398" i="1" s="1"/>
  <c r="B2767" i="1"/>
  <c r="C2767" i="1" s="1"/>
  <c r="B2762" i="1"/>
  <c r="C2762" i="1" s="1"/>
  <c r="B1852" i="1"/>
  <c r="C1852" i="1" s="1"/>
  <c r="B319" i="1"/>
  <c r="C319" i="1" s="1"/>
  <c r="B2387" i="1"/>
  <c r="C2387" i="1" s="1"/>
  <c r="B1201" i="1"/>
  <c r="C1201" i="1" s="1"/>
  <c r="B890" i="1"/>
  <c r="C890" i="1" s="1"/>
  <c r="B1564" i="1"/>
  <c r="C1564" i="1" s="1"/>
  <c r="B2131" i="1"/>
  <c r="C2131" i="1" s="1"/>
  <c r="B2401" i="1"/>
  <c r="C2401" i="1" s="1"/>
  <c r="B936" i="1"/>
  <c r="C936" i="1" s="1"/>
  <c r="B2814" i="1"/>
  <c r="C2814" i="1" s="1"/>
  <c r="B2776" i="1"/>
  <c r="C2776" i="1" s="1"/>
  <c r="B1120" i="1"/>
  <c r="C1120" i="1" s="1"/>
  <c r="B963" i="1"/>
  <c r="C963" i="1" s="1"/>
  <c r="B995" i="1"/>
  <c r="C995" i="1" s="1"/>
  <c r="B2096" i="1"/>
  <c r="C2096" i="1" s="1"/>
  <c r="B2422" i="1"/>
  <c r="C2422" i="1" s="1"/>
  <c r="B1911" i="1"/>
  <c r="C1911" i="1" s="1"/>
  <c r="B1216" i="1"/>
  <c r="C1216" i="1" s="1"/>
  <c r="B1750" i="1"/>
  <c r="C1750" i="1" s="1"/>
  <c r="B1922" i="1"/>
  <c r="C1922" i="1" s="1"/>
  <c r="B768" i="1"/>
  <c r="C768" i="1" s="1"/>
  <c r="B507" i="1"/>
  <c r="C507" i="1" s="1"/>
  <c r="B922" i="1"/>
  <c r="C922" i="1" s="1"/>
  <c r="B2192" i="1"/>
  <c r="C2192" i="1" s="1"/>
  <c r="B460" i="1"/>
  <c r="C460" i="1" s="1"/>
  <c r="B1565" i="1"/>
  <c r="C1565" i="1" s="1"/>
  <c r="B2154" i="1"/>
  <c r="C2154" i="1" s="1"/>
  <c r="B1865" i="1"/>
  <c r="C1865" i="1" s="1"/>
  <c r="B1110" i="1"/>
  <c r="C1110" i="1" s="1"/>
  <c r="B1515" i="1"/>
  <c r="C1515" i="1" s="1"/>
  <c r="B1683" i="1"/>
  <c r="C1683" i="1" s="1"/>
  <c r="B149" i="1"/>
  <c r="C149" i="1" s="1"/>
  <c r="B1788" i="1"/>
  <c r="C1788" i="1" s="1"/>
  <c r="B1257" i="1"/>
  <c r="C1257" i="1" s="1"/>
  <c r="B2886" i="1"/>
  <c r="C2886" i="1" s="1"/>
  <c r="B167" i="1"/>
  <c r="C167" i="1" s="1"/>
  <c r="B2263" i="1"/>
  <c r="C2263" i="1" s="1"/>
  <c r="B2252" i="1"/>
  <c r="C2252" i="1" s="1"/>
  <c r="B1435" i="1"/>
  <c r="C1435" i="1" s="1"/>
  <c r="B1756" i="1"/>
  <c r="C1756" i="1" s="1"/>
  <c r="B2903" i="1"/>
  <c r="C2903" i="1" s="1"/>
  <c r="B1711" i="1"/>
  <c r="C1711" i="1" s="1"/>
  <c r="B2635" i="1"/>
  <c r="C2635" i="1" s="1"/>
  <c r="B1337" i="1"/>
  <c r="C1337" i="1" s="1"/>
  <c r="B1108" i="1"/>
  <c r="C1108" i="1" s="1"/>
  <c r="B1982" i="1"/>
  <c r="C1982" i="1" s="1"/>
  <c r="B2305" i="1"/>
  <c r="C2305" i="1" s="1"/>
  <c r="B2287" i="1"/>
  <c r="C2287" i="1" s="1"/>
  <c r="B493" i="1"/>
  <c r="C493" i="1" s="1"/>
  <c r="B1789" i="1"/>
  <c r="C1789" i="1" s="1"/>
  <c r="B2995" i="1"/>
  <c r="C2995" i="1" s="1"/>
  <c r="B2130" i="1"/>
  <c r="C2130" i="1" s="1"/>
  <c r="B945" i="1"/>
  <c r="C945" i="1" s="1"/>
  <c r="B1247" i="1"/>
  <c r="C1247" i="1" s="1"/>
  <c r="B953" i="1"/>
  <c r="C953" i="1" s="1"/>
  <c r="B1568" i="1"/>
  <c r="C1568" i="1" s="1"/>
  <c r="B1702" i="1"/>
  <c r="C1702" i="1" s="1"/>
  <c r="B869" i="1"/>
  <c r="C869" i="1" s="1"/>
  <c r="B1145" i="1"/>
  <c r="C1145" i="1" s="1"/>
  <c r="B2626" i="1"/>
  <c r="C2626" i="1" s="1"/>
  <c r="B1962" i="1"/>
  <c r="C1962" i="1" s="1"/>
  <c r="B2378" i="1"/>
  <c r="C2378" i="1" s="1"/>
  <c r="B2370" i="1"/>
  <c r="C2370" i="1" s="1"/>
  <c r="B132" i="1"/>
  <c r="C132" i="1" s="1"/>
  <c r="B272" i="1"/>
  <c r="C272" i="1" s="1"/>
  <c r="B276" i="1"/>
  <c r="C276" i="1" s="1"/>
  <c r="B891" i="1"/>
  <c r="C891" i="1" s="1"/>
  <c r="B900" i="1"/>
  <c r="C900" i="1" s="1"/>
  <c r="B1442" i="1"/>
  <c r="C1442" i="1" s="1"/>
  <c r="B1403" i="1"/>
  <c r="C1403" i="1" s="1"/>
  <c r="B401" i="1"/>
  <c r="C401" i="1" s="1"/>
  <c r="B2439" i="1"/>
  <c r="C2439" i="1" s="1"/>
  <c r="B1422" i="1"/>
  <c r="C1422" i="1" s="1"/>
  <c r="B420" i="1"/>
  <c r="C420" i="1" s="1"/>
  <c r="B2298" i="1"/>
  <c r="C2298" i="1" s="1"/>
  <c r="B655" i="1"/>
  <c r="C655" i="1" s="1"/>
  <c r="B905" i="1"/>
  <c r="C905" i="1" s="1"/>
  <c r="B2327" i="1"/>
  <c r="C2327" i="1" s="1"/>
  <c r="B2239" i="1"/>
  <c r="C2239" i="1" s="1"/>
  <c r="B2196" i="1"/>
  <c r="C2196" i="1" s="1"/>
  <c r="B1179" i="1"/>
  <c r="C1179" i="1" s="1"/>
  <c r="B1206" i="1"/>
  <c r="C1206" i="1" s="1"/>
  <c r="B762" i="1"/>
  <c r="C762" i="1" s="1"/>
  <c r="B448" i="1"/>
  <c r="C448" i="1" s="1"/>
  <c r="B2257" i="1"/>
  <c r="C2257" i="1" s="1"/>
  <c r="B506" i="1"/>
  <c r="C506" i="1" s="1"/>
  <c r="B2178" i="1"/>
  <c r="C2178" i="1" s="1"/>
  <c r="B1414" i="1"/>
  <c r="C1414" i="1" s="1"/>
  <c r="B594" i="1"/>
  <c r="C594" i="1" s="1"/>
  <c r="B1319" i="1"/>
  <c r="C1319" i="1" s="1"/>
  <c r="B2123" i="1"/>
  <c r="C2123" i="1" s="1"/>
  <c r="D2123" i="1" s="1"/>
  <c r="B2140" i="1"/>
  <c r="C2140" i="1" s="1"/>
  <c r="B1605" i="1"/>
  <c r="C1605" i="1" s="1"/>
  <c r="B2297" i="1"/>
  <c r="C2297" i="1" s="1"/>
  <c r="B1353" i="1"/>
  <c r="C1353" i="1" s="1"/>
  <c r="B2152" i="1"/>
  <c r="C2152" i="1" s="1"/>
  <c r="B719" i="1"/>
  <c r="C719" i="1" s="1"/>
  <c r="B754" i="1"/>
  <c r="C754" i="1" s="1"/>
  <c r="B2669" i="1"/>
  <c r="C2669" i="1" s="1"/>
  <c r="B2721" i="1"/>
  <c r="C2721" i="1" s="1"/>
  <c r="B2445" i="1"/>
  <c r="C2445" i="1" s="1"/>
  <c r="B2565" i="1"/>
  <c r="C2565" i="1" s="1"/>
  <c r="B2344" i="1"/>
  <c r="C2344" i="1" s="1"/>
  <c r="B1525" i="1"/>
  <c r="C1525" i="1" s="1"/>
  <c r="B1589" i="1"/>
  <c r="C1589" i="1" s="1"/>
  <c r="B2531" i="1"/>
  <c r="C2531" i="1" s="1"/>
  <c r="B620" i="1"/>
  <c r="C620" i="1" s="1"/>
  <c r="B2250" i="1"/>
  <c r="C2250" i="1" s="1"/>
  <c r="B2890" i="1"/>
  <c r="C2890" i="1" s="1"/>
  <c r="B1535" i="1"/>
  <c r="C1535" i="1" s="1"/>
  <c r="B2104" i="1"/>
  <c r="C2104" i="1" s="1"/>
  <c r="B393" i="1"/>
  <c r="C393" i="1" s="1"/>
  <c r="B779" i="1"/>
  <c r="C779" i="1" s="1"/>
  <c r="B1036" i="1"/>
  <c r="C1036" i="1" s="1"/>
  <c r="B2085" i="1"/>
  <c r="C2085" i="1" s="1"/>
  <c r="B1483" i="1"/>
  <c r="C1483" i="1" s="1"/>
  <c r="B2588" i="1"/>
  <c r="C2588" i="1" s="1"/>
  <c r="B1202" i="1"/>
  <c r="C1202" i="1" s="1"/>
  <c r="B2201" i="1"/>
  <c r="C2201" i="1" s="1"/>
  <c r="B2741" i="1"/>
  <c r="C2741" i="1" s="1"/>
  <c r="B451" i="1"/>
  <c r="C451" i="1" s="1"/>
  <c r="B302" i="1"/>
  <c r="C302" i="1" s="1"/>
  <c r="B547" i="1"/>
  <c r="C547" i="1" s="1"/>
  <c r="B2373" i="1"/>
  <c r="C2373" i="1" s="1"/>
  <c r="B2716" i="1"/>
  <c r="C2716" i="1" s="1"/>
  <c r="B2836" i="1"/>
  <c r="C2836" i="1" s="1"/>
  <c r="B1382" i="1"/>
  <c r="C1382" i="1" s="1"/>
  <c r="B1983" i="1"/>
  <c r="C1983" i="1" s="1"/>
  <c r="B1668" i="1"/>
  <c r="C1668" i="1" s="1"/>
  <c r="B1289" i="1"/>
  <c r="C1289" i="1" s="1"/>
  <c r="B1611" i="1"/>
  <c r="C1611" i="1" s="1"/>
  <c r="B2241" i="1"/>
  <c r="C2241" i="1" s="1"/>
  <c r="B271" i="1"/>
  <c r="C271" i="1" s="1"/>
  <c r="B1857" i="1"/>
  <c r="C1857" i="1" s="1"/>
  <c r="B1532" i="1"/>
  <c r="C1532" i="1" s="1"/>
  <c r="B2723" i="1"/>
  <c r="C2723" i="1" s="1"/>
  <c r="B800" i="1"/>
  <c r="C800" i="1" s="1"/>
  <c r="B230" i="1"/>
  <c r="C230" i="1" s="1"/>
  <c r="B2783" i="1"/>
  <c r="C2783" i="1" s="1"/>
  <c r="B2703" i="1"/>
  <c r="C2703" i="1" s="1"/>
  <c r="B793" i="1"/>
  <c r="C793" i="1" s="1"/>
  <c r="B109" i="1"/>
  <c r="C109" i="1" s="1"/>
  <c r="B1363" i="1"/>
  <c r="C1363" i="1" s="1"/>
  <c r="B2071" i="1"/>
  <c r="C2071" i="1" s="1"/>
  <c r="B972" i="1"/>
  <c r="C972" i="1" s="1"/>
  <c r="B1399" i="1"/>
  <c r="C1399" i="1" s="1"/>
  <c r="B1824" i="1"/>
  <c r="C1824" i="1" s="1"/>
  <c r="B874" i="1"/>
  <c r="C874" i="1" s="1"/>
  <c r="B2484" i="1"/>
  <c r="C2484" i="1" s="1"/>
  <c r="B1696" i="1"/>
  <c r="C1696" i="1" s="1"/>
  <c r="B526" i="1"/>
  <c r="C526" i="1" s="1"/>
  <c r="B2260" i="1"/>
  <c r="C2260" i="1" s="1"/>
  <c r="B2632" i="1"/>
  <c r="C2632" i="1" s="1"/>
  <c r="B1266" i="1"/>
  <c r="C1266" i="1" s="1"/>
  <c r="B1182" i="1"/>
  <c r="C1182" i="1" s="1"/>
  <c r="B2572" i="1"/>
  <c r="C2572" i="1" s="1"/>
  <c r="B2604" i="1"/>
  <c r="C2604" i="1" s="1"/>
  <c r="B1177" i="1"/>
  <c r="C1177" i="1" s="1"/>
  <c r="B1390" i="1"/>
  <c r="C1390" i="1" s="1"/>
  <c r="B853" i="1"/>
  <c r="C853" i="1" s="1"/>
  <c r="B925" i="1"/>
  <c r="C925" i="1" s="1"/>
  <c r="B2021" i="1"/>
  <c r="C2021" i="1" s="1"/>
  <c r="B289" i="1"/>
  <c r="C289" i="1" s="1"/>
  <c r="B343" i="1"/>
  <c r="C343" i="1" s="1"/>
  <c r="B1162" i="1"/>
  <c r="C1162" i="1" s="1"/>
  <c r="B2941" i="1"/>
  <c r="C2941" i="1" s="1"/>
  <c r="B644" i="1"/>
  <c r="C644" i="1" s="1"/>
  <c r="B2054" i="1"/>
  <c r="C2054" i="1" s="1"/>
  <c r="B667" i="1"/>
  <c r="C667" i="1" s="1"/>
  <c r="B1242" i="1"/>
  <c r="C1242" i="1" s="1"/>
  <c r="B89" i="1"/>
  <c r="C89" i="1" s="1"/>
  <c r="B2666" i="1"/>
  <c r="C2666" i="1" s="1"/>
  <c r="B892" i="1"/>
  <c r="C892" i="1" s="1"/>
  <c r="B2431" i="1"/>
  <c r="C2431" i="1" s="1"/>
  <c r="B2863" i="1"/>
  <c r="C2863" i="1" s="1"/>
  <c r="B1359" i="1"/>
  <c r="C1359" i="1" s="1"/>
  <c r="B588" i="1"/>
  <c r="C588" i="1" s="1"/>
  <c r="B1965" i="1"/>
  <c r="C1965" i="1" s="1"/>
  <c r="B2412" i="1"/>
  <c r="C2412" i="1" s="1"/>
  <c r="B1112" i="1"/>
  <c r="C1112" i="1" s="1"/>
  <c r="B631" i="1"/>
  <c r="C631" i="1" s="1"/>
  <c r="B969" i="1"/>
  <c r="C969" i="1" s="1"/>
  <c r="B1096" i="1"/>
  <c r="C1096" i="1" s="1"/>
  <c r="B987" i="1"/>
  <c r="C987" i="1" s="1"/>
  <c r="B2349" i="1"/>
  <c r="C2349" i="1" s="1"/>
  <c r="B1180" i="1"/>
  <c r="C1180" i="1" s="1"/>
  <c r="B2468" i="1"/>
  <c r="C2468" i="1" s="1"/>
  <c r="B2450" i="1"/>
  <c r="C2450" i="1" s="1"/>
  <c r="B1416" i="1"/>
  <c r="C1416" i="1" s="1"/>
  <c r="B191" i="1"/>
  <c r="C191" i="1" s="1"/>
  <c r="B1567" i="1"/>
  <c r="C1567" i="1" s="1"/>
  <c r="B148" i="1"/>
  <c r="C148" i="1" s="1"/>
  <c r="B1495" i="1"/>
  <c r="C1495" i="1" s="1"/>
  <c r="B2861" i="1"/>
  <c r="C2861" i="1" s="1"/>
  <c r="B1011" i="1"/>
  <c r="C1011" i="1" s="1"/>
  <c r="B1165" i="1"/>
  <c r="C1165" i="1" s="1"/>
  <c r="B2061" i="1"/>
  <c r="C2061" i="1" s="1"/>
  <c r="B1060" i="1"/>
  <c r="C1060" i="1" s="1"/>
  <c r="B1380" i="1"/>
  <c r="C1380" i="1" s="1"/>
  <c r="B2757" i="1"/>
  <c r="C2757" i="1" s="1"/>
  <c r="B1545" i="1"/>
  <c r="C1545" i="1" s="1"/>
  <c r="B1415" i="1"/>
  <c r="C1415" i="1" s="1"/>
  <c r="B2097" i="1"/>
  <c r="C2097" i="1" s="1"/>
  <c r="B2979" i="1"/>
  <c r="C2979" i="1" s="1"/>
  <c r="B1849" i="1"/>
  <c r="C1849" i="1" s="1"/>
  <c r="B2285" i="1"/>
  <c r="C2285" i="1" s="1"/>
  <c r="B118" i="1"/>
  <c r="C118" i="1" s="1"/>
  <c r="B1268" i="1"/>
  <c r="C1268" i="1" s="1"/>
  <c r="B559" i="1"/>
  <c r="C559" i="1" s="1"/>
  <c r="B1517" i="1"/>
  <c r="C1517" i="1" s="1"/>
  <c r="B641" i="1"/>
  <c r="C641" i="1" s="1"/>
  <c r="B2962" i="1"/>
  <c r="C2962" i="1" s="1"/>
  <c r="B858" i="1"/>
  <c r="C858" i="1" s="1"/>
  <c r="B637" i="1"/>
  <c r="C637" i="1" s="1"/>
  <c r="B1657" i="1"/>
  <c r="C1657" i="1" s="1"/>
  <c r="B2347" i="1"/>
  <c r="C2347" i="1" s="1"/>
  <c r="B26" i="1"/>
  <c r="C26" i="1" s="1"/>
  <c r="B1024" i="1"/>
  <c r="C1024" i="1" s="1"/>
  <c r="B2311" i="1"/>
  <c r="C2311" i="1" s="1"/>
  <c r="B2846" i="1"/>
  <c r="C2846" i="1" s="1"/>
  <c r="B955" i="1"/>
  <c r="C955" i="1" s="1"/>
  <c r="B2007" i="1"/>
  <c r="C2007" i="1" s="1"/>
  <c r="B1492" i="1"/>
  <c r="C1492" i="1" s="1"/>
  <c r="B2974" i="1"/>
  <c r="C2974" i="1" s="1"/>
  <c r="B58" i="1"/>
  <c r="C58" i="1" s="1"/>
  <c r="B2193" i="1"/>
  <c r="C2193" i="1" s="1"/>
  <c r="B854" i="1"/>
  <c r="C854" i="1" s="1"/>
  <c r="B990" i="1"/>
  <c r="C990" i="1" s="1"/>
  <c r="B1498" i="1"/>
  <c r="C1498" i="1" s="1"/>
  <c r="B1239" i="1"/>
  <c r="C1239" i="1" s="1"/>
  <c r="B442" i="1"/>
  <c r="C442" i="1" s="1"/>
  <c r="B246" i="1"/>
  <c r="C246" i="1" s="1"/>
  <c r="B597" i="1"/>
  <c r="C597" i="1" s="1"/>
  <c r="B1853" i="1"/>
  <c r="C1853" i="1" s="1"/>
  <c r="B2639" i="1"/>
  <c r="C2639" i="1" s="1"/>
  <c r="B1294" i="1"/>
  <c r="C1294" i="1" s="1"/>
  <c r="B772" i="1"/>
  <c r="C772" i="1" s="1"/>
  <c r="B866" i="1"/>
  <c r="C866" i="1" s="1"/>
  <c r="B2876" i="1"/>
  <c r="C2876" i="1" s="1"/>
  <c r="B84" i="1"/>
  <c r="C84" i="1" s="1"/>
  <c r="B917" i="1"/>
  <c r="C917" i="1" s="1"/>
  <c r="B1843" i="1"/>
  <c r="C1843" i="1" s="1"/>
  <c r="B1840" i="1"/>
  <c r="C1840" i="1" s="1"/>
  <c r="B536" i="1"/>
  <c r="C536" i="1" s="1"/>
  <c r="B998" i="1"/>
  <c r="C998" i="1" s="1"/>
  <c r="B1134" i="1"/>
  <c r="C1134" i="1" s="1"/>
  <c r="B2402" i="1"/>
  <c r="C2402" i="1" s="1"/>
  <c r="B824" i="1"/>
  <c r="C824" i="1" s="1"/>
  <c r="B842" i="1"/>
  <c r="C842" i="1" s="1"/>
  <c r="B2425" i="1"/>
  <c r="C2425" i="1" s="1"/>
  <c r="B488" i="1"/>
  <c r="C488" i="1" s="1"/>
  <c r="B1243" i="1"/>
  <c r="C1243" i="1" s="1"/>
  <c r="B1573" i="1"/>
  <c r="C1573" i="1" s="1"/>
  <c r="B1149" i="1"/>
  <c r="C1149" i="1" s="1"/>
  <c r="B581" i="1"/>
  <c r="C581" i="1" s="1"/>
  <c r="B2833" i="1"/>
  <c r="C2833" i="1" s="1"/>
  <c r="B1080" i="1"/>
  <c r="C1080" i="1" s="1"/>
  <c r="B1142" i="1"/>
  <c r="C1142" i="1" s="1"/>
  <c r="B1829" i="1"/>
  <c r="C1829" i="1" s="1"/>
  <c r="B1086" i="1"/>
  <c r="C1086" i="1" s="1"/>
  <c r="B660" i="1"/>
  <c r="C660" i="1" s="1"/>
  <c r="B1644" i="1"/>
  <c r="C1644" i="1" s="1"/>
  <c r="B1395" i="1"/>
  <c r="C1395" i="1" s="1"/>
  <c r="B2621" i="1"/>
  <c r="C2621" i="1" s="1"/>
  <c r="B2471" i="1"/>
  <c r="C2471" i="1" s="1"/>
  <c r="B801" i="1"/>
  <c r="C801" i="1" s="1"/>
  <c r="B2656" i="1"/>
  <c r="C2656" i="1" s="1"/>
  <c r="B2015" i="1"/>
  <c r="C2015" i="1" s="1"/>
  <c r="B992" i="1"/>
  <c r="C992" i="1" s="1"/>
  <c r="B296" i="1"/>
  <c r="C296" i="1" s="1"/>
  <c r="B1295" i="1"/>
  <c r="C1295" i="1" s="1"/>
  <c r="B2651" i="1"/>
  <c r="C2651" i="1" s="1"/>
  <c r="B2674" i="1"/>
  <c r="C2674" i="1" s="1"/>
  <c r="B1451" i="1"/>
  <c r="C1451" i="1" s="1"/>
  <c r="B1285" i="1"/>
  <c r="C1285" i="1" s="1"/>
  <c r="B528" i="1"/>
  <c r="C528" i="1" s="1"/>
  <c r="B533" i="1"/>
  <c r="C533" i="1" s="1"/>
  <c r="B470" i="1"/>
  <c r="C470" i="1" s="1"/>
  <c r="B1632" i="1"/>
  <c r="C1632" i="1" s="1"/>
  <c r="B695" i="1"/>
  <c r="C695" i="1" s="1"/>
  <c r="B697" i="1"/>
  <c r="C697" i="1" s="1"/>
  <c r="B215" i="1"/>
  <c r="C215" i="1" s="1"/>
  <c r="B335" i="1"/>
  <c r="C335" i="1" s="1"/>
  <c r="B658" i="1"/>
  <c r="C658" i="1" s="1"/>
  <c r="B810" i="1"/>
  <c r="C810" i="1" s="1"/>
  <c r="D810" i="1" s="1"/>
  <c r="B2194" i="1"/>
  <c r="C2194" i="1" s="1"/>
  <c r="B91" i="1"/>
  <c r="C91" i="1" s="1"/>
  <c r="B622" i="1"/>
  <c r="C622" i="1" s="1"/>
  <c r="B1427" i="1"/>
  <c r="C1427" i="1" s="1"/>
  <c r="B979" i="1"/>
  <c r="C979" i="1" s="1"/>
  <c r="B1161" i="1"/>
  <c r="C1161" i="1" s="1"/>
  <c r="B1926" i="1"/>
  <c r="C1926" i="1" s="1"/>
  <c r="B1744" i="1"/>
  <c r="C1744" i="1" s="1"/>
  <c r="B962" i="1"/>
  <c r="C962" i="1" s="1"/>
  <c r="B1787" i="1"/>
  <c r="C1787" i="1" s="1"/>
  <c r="B69" i="1"/>
  <c r="C69" i="1" s="1"/>
  <c r="B1462" i="1"/>
  <c r="C1462" i="1" s="1"/>
  <c r="B548" i="1"/>
  <c r="C548" i="1" s="1"/>
  <c r="B280" i="1"/>
  <c r="C280" i="1" s="1"/>
  <c r="B2132" i="1"/>
  <c r="C2132" i="1" s="1"/>
  <c r="B1561" i="1"/>
  <c r="C1561" i="1" s="1"/>
  <c r="B1115" i="1"/>
  <c r="C1115" i="1" s="1"/>
  <c r="B2911" i="1"/>
  <c r="C2911" i="1" s="1"/>
  <c r="B906" i="1"/>
  <c r="C906" i="1" s="1"/>
  <c r="B463" i="1"/>
  <c r="C463" i="1" s="1"/>
  <c r="B2695" i="1"/>
  <c r="C2695" i="1" s="1"/>
  <c r="B978" i="1"/>
  <c r="C978" i="1" s="1"/>
  <c r="B2191" i="1"/>
  <c r="C2191" i="1" s="1"/>
  <c r="B363" i="1"/>
  <c r="C363" i="1" s="1"/>
  <c r="D363" i="1" s="1"/>
  <c r="B2644" i="1"/>
  <c r="C2644" i="1" s="1"/>
  <c r="B1014" i="1"/>
  <c r="C1014" i="1" s="1"/>
  <c r="B2392" i="1"/>
  <c r="C2392" i="1" s="1"/>
  <c r="B2088" i="1"/>
  <c r="C2088" i="1" s="1"/>
  <c r="B275" i="1"/>
  <c r="C275" i="1" s="1"/>
  <c r="B1095" i="1"/>
  <c r="C1095" i="1" s="1"/>
  <c r="B1571" i="1"/>
  <c r="C1571" i="1" s="1"/>
  <c r="B657" i="1"/>
  <c r="C657" i="1" s="1"/>
  <c r="B2893" i="1"/>
  <c r="C2893" i="1" s="1"/>
  <c r="B693" i="1"/>
  <c r="C693" i="1" s="1"/>
  <c r="B2158" i="1"/>
  <c r="C2158" i="1" s="1"/>
  <c r="B2599" i="1"/>
  <c r="C2599" i="1" s="1"/>
  <c r="B2692" i="1"/>
  <c r="C2692" i="1" s="1"/>
  <c r="B2875" i="1"/>
  <c r="C2875" i="1" s="1"/>
  <c r="B2069" i="1"/>
  <c r="C2069" i="1" s="1"/>
  <c r="B97" i="1"/>
  <c r="C97" i="1" s="1"/>
  <c r="B1346" i="1"/>
  <c r="C1346" i="1" s="1"/>
  <c r="B563" i="1"/>
  <c r="C563" i="1" s="1"/>
  <c r="B848" i="1"/>
  <c r="C848" i="1" s="1"/>
  <c r="B316" i="1"/>
  <c r="C316" i="1" s="1"/>
  <c r="B2575" i="1"/>
  <c r="C2575" i="1" s="1"/>
  <c r="B318" i="1"/>
  <c r="C318" i="1" s="1"/>
  <c r="B409" i="1"/>
  <c r="C409" i="1" s="1"/>
  <c r="B445" i="1"/>
  <c r="C445" i="1" s="1"/>
  <c r="B2898" i="1"/>
  <c r="C2898" i="1" s="1"/>
  <c r="B1488" i="1"/>
  <c r="C1488" i="1" s="1"/>
  <c r="B545" i="1"/>
  <c r="C545" i="1" s="1"/>
  <c r="B1797" i="1"/>
  <c r="C1797" i="1" s="1"/>
  <c r="B1037" i="1"/>
  <c r="C1037" i="1" s="1"/>
  <c r="D1037" i="1" s="1"/>
  <c r="B397" i="1"/>
  <c r="C397" i="1" s="1"/>
  <c r="B136" i="1"/>
  <c r="C136" i="1" s="1"/>
  <c r="B325" i="1"/>
  <c r="C325" i="1" s="1"/>
  <c r="B993" i="1"/>
  <c r="C993" i="1" s="1"/>
  <c r="B2464" i="1"/>
  <c r="C2464" i="1" s="1"/>
  <c r="B2910" i="1"/>
  <c r="C2910" i="1" s="1"/>
  <c r="B553" i="1"/>
  <c r="C553" i="1" s="1"/>
  <c r="B2671" i="1"/>
  <c r="C2671" i="1" s="1"/>
  <c r="B2997" i="1"/>
  <c r="C2997" i="1" s="1"/>
  <c r="B893" i="1"/>
  <c r="C893" i="1" s="1"/>
  <c r="B2947" i="1"/>
  <c r="C2947" i="1" s="1"/>
  <c r="B2376" i="1"/>
  <c r="C2376" i="1" s="1"/>
  <c r="B2345" i="1"/>
  <c r="C2345" i="1" s="1"/>
  <c r="B1572" i="1"/>
  <c r="C1572" i="1" s="1"/>
  <c r="B1386" i="1"/>
  <c r="C1386" i="1" s="1"/>
  <c r="B212" i="1"/>
  <c r="C212" i="1" s="1"/>
  <c r="B2170" i="1"/>
  <c r="C2170" i="1" s="1"/>
  <c r="B214" i="1"/>
  <c r="C214" i="1" s="1"/>
  <c r="B416" i="1"/>
  <c r="C416" i="1" s="1"/>
  <c r="B1262" i="1"/>
  <c r="C1262" i="1" s="1"/>
  <c r="B1204" i="1"/>
  <c r="C1204" i="1" s="1"/>
  <c r="B2044" i="1"/>
  <c r="C2044" i="1" s="1"/>
  <c r="D2044" i="1" s="1"/>
  <c r="B1391" i="1"/>
  <c r="C1391" i="1" s="1"/>
  <c r="B1006" i="1"/>
  <c r="C1006" i="1" s="1"/>
  <c r="B1954" i="1"/>
  <c r="C1954" i="1" s="1"/>
  <c r="B106" i="1"/>
  <c r="C106" i="1" s="1"/>
  <c r="B2935" i="1"/>
  <c r="C2935" i="1" s="1"/>
  <c r="B1026" i="1"/>
  <c r="C1026" i="1" s="1"/>
  <c r="B592" i="1"/>
  <c r="C592" i="1" s="1"/>
  <c r="B1867" i="1"/>
  <c r="C1867" i="1" s="1"/>
  <c r="B2016" i="1"/>
  <c r="C2016" i="1" s="1"/>
  <c r="B1297" i="1"/>
  <c r="C1297" i="1" s="1"/>
  <c r="B156" i="1"/>
  <c r="C156" i="1" s="1"/>
  <c r="B2024" i="1"/>
  <c r="C2024" i="1" s="1"/>
  <c r="B1806" i="1"/>
  <c r="C1806" i="1" s="1"/>
  <c r="B2843" i="1"/>
  <c r="C2843" i="1" s="1"/>
  <c r="B1751" i="1"/>
  <c r="C1751" i="1" s="1"/>
  <c r="B1330" i="1"/>
  <c r="C1330" i="1" s="1"/>
  <c r="B1585" i="1"/>
  <c r="C1585" i="1" s="1"/>
  <c r="B2292" i="1"/>
  <c r="C2292" i="1" s="1"/>
  <c r="B1878" i="1"/>
  <c r="C1878" i="1" s="1"/>
  <c r="B2481" i="1"/>
  <c r="C2481" i="1" s="1"/>
  <c r="B2571" i="1"/>
  <c r="C2571" i="1" s="1"/>
  <c r="B2072" i="1"/>
  <c r="C2072" i="1" s="1"/>
  <c r="B2001" i="1"/>
  <c r="C2001" i="1" s="1"/>
  <c r="B383" i="1"/>
  <c r="C383" i="1" s="1"/>
  <c r="B1821" i="1"/>
  <c r="C1821" i="1" s="1"/>
  <c r="B1298" i="1"/>
  <c r="C1298" i="1" s="1"/>
  <c r="D1298" i="1" s="1"/>
  <c r="B2151" i="1"/>
  <c r="C2151" i="1" s="1"/>
  <c r="B2809" i="1"/>
  <c r="C2809" i="1" s="1"/>
  <c r="B51" i="1"/>
  <c r="C51" i="1" s="1"/>
  <c r="B897" i="1"/>
  <c r="C897" i="1" s="1"/>
  <c r="B418" i="1"/>
  <c r="C418" i="1" s="1"/>
  <c r="B270" i="1"/>
  <c r="C270" i="1" s="1"/>
  <c r="B1902" i="1"/>
  <c r="C1902" i="1" s="1"/>
  <c r="B1670" i="1"/>
  <c r="C1670" i="1" s="1"/>
  <c r="B539" i="1"/>
  <c r="C539" i="1" s="1"/>
  <c r="B703" i="1"/>
  <c r="C703" i="1" s="1"/>
  <c r="B713" i="1"/>
  <c r="C713" i="1" s="1"/>
  <c r="B323" i="1"/>
  <c r="C323" i="1" s="1"/>
  <c r="B2416" i="1"/>
  <c r="C2416" i="1" s="1"/>
  <c r="B74" i="1"/>
  <c r="C74" i="1" s="1"/>
  <c r="B2223" i="1"/>
  <c r="C2223" i="1" s="1"/>
  <c r="B2560" i="1"/>
  <c r="C2560" i="1" s="1"/>
  <c r="B940" i="1"/>
  <c r="C940" i="1" s="1"/>
  <c r="B1998" i="1"/>
  <c r="C1998" i="1" s="1"/>
  <c r="B2585" i="1"/>
  <c r="C2585" i="1" s="1"/>
  <c r="B408" i="1"/>
  <c r="C408" i="1" s="1"/>
  <c r="B1607" i="1"/>
  <c r="C1607" i="1" s="1"/>
  <c r="B1084" i="1"/>
  <c r="C1084" i="1" s="1"/>
  <c r="B17" i="1"/>
  <c r="C17" i="1" s="1"/>
  <c r="B1169" i="1"/>
  <c r="C1169" i="1" s="1"/>
  <c r="B1401" i="1"/>
  <c r="C1401" i="1" s="1"/>
  <c r="B2411" i="1"/>
  <c r="C2411" i="1" s="1"/>
  <c r="B880" i="1"/>
  <c r="C880" i="1" s="1"/>
  <c r="B1896" i="1"/>
  <c r="C1896" i="1" s="1"/>
  <c r="B821" i="1"/>
  <c r="C821" i="1" s="1"/>
  <c r="B2352" i="1"/>
  <c r="C2352" i="1" s="1"/>
  <c r="B813" i="1"/>
  <c r="C813" i="1" s="1"/>
  <c r="B2797" i="1"/>
  <c r="C2797" i="1" s="1"/>
  <c r="B103" i="1"/>
  <c r="C103" i="1" s="1"/>
  <c r="B2591" i="1"/>
  <c r="C2591" i="1" s="1"/>
  <c r="B707" i="1"/>
  <c r="C707" i="1" s="1"/>
  <c r="B2111" i="1"/>
  <c r="C2111" i="1" s="1"/>
  <c r="B2326" i="1"/>
  <c r="C2326" i="1" s="1"/>
  <c r="D2326" i="1" s="1"/>
  <c r="B277" i="1"/>
  <c r="C277" i="1" s="1"/>
  <c r="B2629" i="1"/>
  <c r="C2629" i="1" s="1"/>
  <c r="B2601" i="1"/>
  <c r="C2601" i="1" s="1"/>
  <c r="B2000" i="1"/>
  <c r="C2000" i="1" s="1"/>
  <c r="B1450" i="1"/>
  <c r="C1450" i="1" s="1"/>
  <c r="B1963" i="1"/>
  <c r="C1963" i="1" s="1"/>
  <c r="D1963" i="1" s="1"/>
  <c r="B1710" i="1"/>
  <c r="C1710" i="1" s="1"/>
  <c r="B2999" i="1"/>
  <c r="C2999" i="1" s="1"/>
  <c r="D2999" i="1" s="1"/>
  <c r="B2322" i="1"/>
  <c r="C2322" i="1" s="1"/>
  <c r="B2233" i="1"/>
  <c r="C2233" i="1" s="1"/>
  <c r="B2075" i="1"/>
  <c r="C2075" i="1" s="1"/>
  <c r="B1514" i="1"/>
  <c r="C1514" i="1" s="1"/>
  <c r="B1054" i="1"/>
  <c r="C1054" i="1" s="1"/>
  <c r="B856" i="1"/>
  <c r="C856" i="1" s="1"/>
  <c r="B2281" i="1"/>
  <c r="C2281" i="1" s="1"/>
  <c r="B1548" i="1"/>
  <c r="C1548" i="1" s="1"/>
  <c r="B1099" i="1"/>
  <c r="C1099" i="1" s="1"/>
  <c r="B2552" i="1"/>
  <c r="C2552" i="1" s="1"/>
  <c r="B1211" i="1"/>
  <c r="C1211" i="1" s="1"/>
  <c r="B2440" i="1"/>
  <c r="C2440" i="1" s="1"/>
  <c r="B2867" i="1"/>
  <c r="C2867" i="1" s="1"/>
  <c r="B618" i="1"/>
  <c r="C618" i="1" s="1"/>
  <c r="B2746" i="1"/>
  <c r="C2746" i="1" s="1"/>
  <c r="D2746" i="1" s="1"/>
  <c r="B1152" i="1"/>
  <c r="C1152" i="1" s="1"/>
  <c r="B685" i="1"/>
  <c r="C685" i="1" s="1"/>
  <c r="B1383" i="1"/>
  <c r="C1383" i="1" s="1"/>
  <c r="B1005" i="1"/>
  <c r="C1005" i="1" s="1"/>
  <c r="B1318" i="1"/>
  <c r="C1318" i="1" s="1"/>
  <c r="B513" i="1"/>
  <c r="C513" i="1" s="1"/>
  <c r="B1406" i="1"/>
  <c r="C1406" i="1" s="1"/>
  <c r="B114" i="1"/>
  <c r="C114" i="1" s="1"/>
  <c r="B888" i="1"/>
  <c r="C888" i="1" s="1"/>
  <c r="B2551" i="1"/>
  <c r="C2551" i="1" s="1"/>
  <c r="B1629" i="1"/>
  <c r="C1629" i="1" s="1"/>
  <c r="B2966" i="1"/>
  <c r="C2966" i="1" s="1"/>
  <c r="B1397" i="1"/>
  <c r="C1397" i="1" s="1"/>
  <c r="B2040" i="1"/>
  <c r="C2040" i="1" s="1"/>
  <c r="B1118" i="1"/>
  <c r="C1118" i="1" s="1"/>
  <c r="B883" i="1"/>
  <c r="C883" i="1" s="1"/>
  <c r="B83" i="1"/>
  <c r="C83" i="1" s="1"/>
  <c r="B1172" i="1"/>
  <c r="C1172" i="1" s="1"/>
  <c r="B1261" i="1"/>
  <c r="C1261" i="1" s="1"/>
  <c r="B2917" i="1"/>
  <c r="C2917" i="1" s="1"/>
  <c r="B1146" i="1"/>
  <c r="C1146" i="1" s="1"/>
  <c r="D1146" i="1" s="1"/>
  <c r="B295" i="1"/>
  <c r="C295" i="1" s="1"/>
  <c r="B1079" i="1"/>
  <c r="C1079" i="1" s="1"/>
  <c r="B1635" i="1"/>
  <c r="C1635" i="1" s="1"/>
  <c r="B1695" i="1"/>
  <c r="C1695" i="1" s="1"/>
  <c r="B2324" i="1"/>
  <c r="C2324" i="1" s="1"/>
  <c r="B2500" i="1"/>
  <c r="C2500" i="1" s="1"/>
  <c r="B903" i="1"/>
  <c r="C903" i="1" s="1"/>
  <c r="B832" i="1"/>
  <c r="C832" i="1" s="1"/>
  <c r="B57" i="1"/>
  <c r="C57" i="1" s="1"/>
  <c r="B2835" i="1"/>
  <c r="C2835" i="1" s="1"/>
  <c r="B981" i="1"/>
  <c r="C981" i="1" s="1"/>
  <c r="B595" i="1"/>
  <c r="C595" i="1" s="1"/>
  <c r="B1987" i="1"/>
  <c r="C1987" i="1" s="1"/>
  <c r="B1240" i="1"/>
  <c r="C1240" i="1" s="1"/>
  <c r="B2658" i="1"/>
  <c r="C2658" i="1" s="1"/>
  <c r="B862" i="1"/>
  <c r="C862" i="1" s="1"/>
  <c r="B560" i="1"/>
  <c r="C560" i="1" s="1"/>
  <c r="B1833" i="1"/>
  <c r="C1833" i="1" s="1"/>
  <c r="B1557" i="1"/>
  <c r="C1557" i="1" s="1"/>
  <c r="B21" i="1"/>
  <c r="C21" i="1" s="1"/>
  <c r="B2209" i="1"/>
  <c r="C2209" i="1" s="1"/>
  <c r="B1503" i="1"/>
  <c r="C1503" i="1" s="1"/>
  <c r="B1912" i="1"/>
  <c r="C1912" i="1" s="1"/>
  <c r="B1013" i="1"/>
  <c r="C1013" i="1" s="1"/>
  <c r="B2328" i="1"/>
  <c r="C2328" i="1" s="1"/>
  <c r="B901" i="1"/>
  <c r="C901" i="1" s="1"/>
  <c r="B78" i="1"/>
  <c r="C78" i="1" s="1"/>
  <c r="B956" i="1"/>
  <c r="C956" i="1" s="1"/>
  <c r="B1378" i="1"/>
  <c r="C1378" i="1" s="1"/>
  <c r="B180" i="1"/>
  <c r="C180" i="1" s="1"/>
  <c r="B138" i="1"/>
  <c r="C138" i="1" s="1"/>
  <c r="B2355" i="1"/>
  <c r="C2355" i="1" s="1"/>
  <c r="B2142" i="1"/>
  <c r="C2142" i="1" s="1"/>
  <c r="B1794" i="1"/>
  <c r="C1794" i="1" s="1"/>
  <c r="B2432" i="1"/>
  <c r="C2432" i="1" s="1"/>
  <c r="D2432" i="1" s="1"/>
  <c r="B2101" i="1"/>
  <c r="C2101" i="1" s="1"/>
  <c r="B864" i="1"/>
  <c r="C864" i="1" s="1"/>
  <c r="B283" i="1"/>
  <c r="C283" i="1" s="1"/>
  <c r="B1154" i="1"/>
  <c r="C1154" i="1" s="1"/>
  <c r="B1260" i="1"/>
  <c r="C1260" i="1" s="1"/>
  <c r="B668" i="1"/>
  <c r="C668" i="1" s="1"/>
  <c r="B2622" i="1"/>
  <c r="C2622" i="1" s="1"/>
  <c r="B1176" i="1"/>
  <c r="C1176" i="1" s="1"/>
  <c r="B247" i="1"/>
  <c r="C247" i="1" s="1"/>
  <c r="B1685" i="1"/>
  <c r="C1685" i="1" s="1"/>
  <c r="B331" i="1"/>
  <c r="C331" i="1" s="1"/>
  <c r="D331" i="1" s="1"/>
  <c r="B875" i="1"/>
  <c r="C875" i="1" s="1"/>
  <c r="B2808" i="1"/>
  <c r="C2808" i="1" s="1"/>
  <c r="B1299" i="1"/>
  <c r="C1299" i="1" s="1"/>
  <c r="B1128" i="1"/>
  <c r="C1128" i="1" s="1"/>
  <c r="D1128" i="1" s="1"/>
  <c r="B2375" i="1"/>
  <c r="C2375" i="1" s="1"/>
  <c r="B849" i="1"/>
  <c r="C849" i="1" s="1"/>
  <c r="B747" i="1"/>
  <c r="C747" i="1" s="1"/>
  <c r="B1463" i="1"/>
  <c r="C1463" i="1" s="1"/>
  <c r="D1463" i="1" s="1"/>
  <c r="B217" i="1"/>
  <c r="C217" i="1" s="1"/>
  <c r="B24" i="1"/>
  <c r="C24" i="1" s="1"/>
  <c r="B676" i="1"/>
  <c r="C676" i="1" s="1"/>
  <c r="B2700" i="1"/>
  <c r="C2700" i="1" s="1"/>
  <c r="B1673" i="1"/>
  <c r="C1673" i="1" s="1"/>
  <c r="B2009" i="1"/>
  <c r="C2009" i="1" s="1"/>
  <c r="B2268" i="1"/>
  <c r="C2268" i="1" s="1"/>
  <c r="B254" i="1"/>
  <c r="C254" i="1" s="1"/>
  <c r="B2410" i="1"/>
  <c r="C2410" i="1" s="1"/>
  <c r="B555" i="1"/>
  <c r="C555" i="1" s="1"/>
  <c r="B570" i="1"/>
  <c r="C570" i="1" s="1"/>
  <c r="B1328" i="1"/>
  <c r="C1328" i="1" s="1"/>
  <c r="B152" i="1"/>
  <c r="C152" i="1" s="1"/>
  <c r="B161" i="1"/>
  <c r="C161" i="1" s="1"/>
  <c r="B2859" i="1"/>
  <c r="C2859" i="1" s="1"/>
  <c r="B2254" i="1"/>
  <c r="C2254" i="1" s="1"/>
  <c r="B2127" i="1"/>
  <c r="C2127" i="1" s="1"/>
  <c r="B473" i="1"/>
  <c r="C473" i="1" s="1"/>
  <c r="D473" i="1" s="1"/>
  <c r="B1925" i="1"/>
  <c r="C1925" i="1" s="1"/>
  <c r="B179" i="1"/>
  <c r="C179" i="1" s="1"/>
  <c r="B640" i="1"/>
  <c r="C640" i="1" s="1"/>
  <c r="B2168" i="1"/>
  <c r="C2168" i="1" s="1"/>
  <c r="B868" i="1"/>
  <c r="C868" i="1" s="1"/>
  <c r="B2866" i="1"/>
  <c r="C2866" i="1" s="1"/>
  <c r="B2714" i="1"/>
  <c r="C2714" i="1" s="1"/>
  <c r="B369" i="1"/>
  <c r="C369" i="1" s="1"/>
  <c r="B1619" i="1"/>
  <c r="C1619" i="1" s="1"/>
  <c r="B763" i="1"/>
  <c r="C763" i="1" s="1"/>
  <c r="B1281" i="1"/>
  <c r="C1281" i="1" s="1"/>
  <c r="B2684" i="1"/>
  <c r="C2684" i="1" s="1"/>
  <c r="B1381" i="1"/>
  <c r="C1381" i="1" s="1"/>
  <c r="B2904" i="1"/>
  <c r="C2904" i="1" s="1"/>
  <c r="B1689" i="1"/>
  <c r="C1689" i="1" s="1"/>
  <c r="B1371" i="1"/>
  <c r="C1371" i="1" s="1"/>
  <c r="B291" i="1"/>
  <c r="C291" i="1" s="1"/>
  <c r="B872" i="1"/>
  <c r="C872" i="1" s="1"/>
  <c r="B2361" i="1"/>
  <c r="C2361" i="1" s="1"/>
  <c r="B147" i="1"/>
  <c r="C147" i="1" s="1"/>
  <c r="B1816" i="1"/>
  <c r="C1816" i="1" s="1"/>
  <c r="B946" i="1"/>
  <c r="C946" i="1" s="1"/>
  <c r="B2138" i="1"/>
  <c r="C2138" i="1" s="1"/>
  <c r="B988" i="1"/>
  <c r="C988" i="1" s="1"/>
  <c r="B1487" i="1"/>
  <c r="C1487" i="1" s="1"/>
  <c r="B2284" i="1"/>
  <c r="C2284" i="1" s="1"/>
  <c r="B224" i="1"/>
  <c r="C224" i="1" s="1"/>
  <c r="B10" i="1"/>
  <c r="B728" i="1"/>
  <c r="C728" i="1" s="1"/>
  <c r="B2853" i="1"/>
  <c r="C2853" i="1" s="1"/>
  <c r="B452" i="1"/>
  <c r="C452" i="1" s="1"/>
  <c r="B532" i="1"/>
  <c r="C532" i="1" s="1"/>
  <c r="B1550" i="1"/>
  <c r="C1550" i="1" s="1"/>
  <c r="B1936" i="1"/>
  <c r="C1936" i="1" s="1"/>
  <c r="B725" i="1"/>
  <c r="C725" i="1" s="1"/>
  <c r="B373" i="1"/>
  <c r="C373" i="1" s="1"/>
  <c r="B422" i="1"/>
  <c r="C422" i="1" s="1"/>
  <c r="B2403" i="1"/>
  <c r="C2403" i="1" s="1"/>
  <c r="B604" i="1"/>
  <c r="C604" i="1" s="1"/>
  <c r="B2932" i="1"/>
  <c r="C2932" i="1" s="1"/>
  <c r="B2125" i="1"/>
  <c r="C2125" i="1" s="1"/>
  <c r="B2385" i="1"/>
  <c r="C2385" i="1" s="1"/>
  <c r="D2385" i="1" s="1"/>
  <c r="B2831" i="1"/>
  <c r="C2831" i="1" s="1"/>
  <c r="B1538" i="1"/>
  <c r="C1538" i="1" s="1"/>
  <c r="B340" i="1"/>
  <c r="C340" i="1" s="1"/>
  <c r="B1570" i="1"/>
  <c r="C1570" i="1" s="1"/>
  <c r="D1570" i="1" s="1"/>
  <c r="B2174" i="1"/>
  <c r="C2174" i="1" s="1"/>
  <c r="B647" i="1"/>
  <c r="C647" i="1" s="1"/>
  <c r="B1400" i="1"/>
  <c r="C1400" i="1" s="1"/>
  <c r="B1309" i="1"/>
  <c r="C1309" i="1" s="1"/>
  <c r="B1250" i="1"/>
  <c r="C1250" i="1" s="1"/>
  <c r="B2236" i="1"/>
  <c r="C2236" i="1" s="1"/>
  <c r="B701" i="1"/>
  <c r="C701" i="1" s="1"/>
  <c r="B894" i="1"/>
  <c r="C894" i="1" s="1"/>
  <c r="B968" i="1"/>
  <c r="C968" i="1" s="1"/>
  <c r="B476" i="1"/>
  <c r="C476" i="1" s="1"/>
  <c r="B244" i="1"/>
  <c r="C244" i="1" s="1"/>
  <c r="B2539" i="1"/>
  <c r="C2539" i="1" s="1"/>
  <c r="B758" i="1"/>
  <c r="C758" i="1" s="1"/>
  <c r="B80" i="1"/>
  <c r="C80" i="1" s="1"/>
  <c r="B1301" i="1"/>
  <c r="C1301" i="1" s="1"/>
  <c r="B2724" i="1"/>
  <c r="C2724" i="1" s="1"/>
  <c r="B2994" i="1"/>
  <c r="C2994" i="1" s="1"/>
  <c r="B642" i="1"/>
  <c r="C642" i="1" s="1"/>
  <c r="B2374" i="1"/>
  <c r="C2374" i="1" s="1"/>
  <c r="D2374" i="1" s="1"/>
  <c r="B240" i="1"/>
  <c r="C240" i="1" s="1"/>
  <c r="B1978" i="1"/>
  <c r="C1978" i="1" s="1"/>
  <c r="B1709" i="1"/>
  <c r="C1709" i="1" s="1"/>
  <c r="B96" i="1"/>
  <c r="C96" i="1" s="1"/>
  <c r="B297" i="1"/>
  <c r="C297" i="1" s="1"/>
  <c r="B1008" i="1"/>
  <c r="C1008" i="1" s="1"/>
  <c r="B2418" i="1"/>
  <c r="C2418" i="1" s="1"/>
  <c r="B2860" i="1"/>
  <c r="C2860" i="1" s="1"/>
  <c r="B2028" i="1"/>
  <c r="C2028" i="1" s="1"/>
  <c r="B2436" i="1"/>
  <c r="C2436" i="1" s="1"/>
  <c r="B1640" i="1"/>
  <c r="C1640" i="1" s="1"/>
  <c r="B2065" i="1"/>
  <c r="C2065" i="1" s="1"/>
  <c r="B2739" i="1"/>
  <c r="C2739" i="1" s="1"/>
  <c r="B2796" i="1"/>
  <c r="C2796" i="1" s="1"/>
  <c r="B1737" i="1"/>
  <c r="C1737" i="1" s="1"/>
  <c r="B303" i="1"/>
  <c r="C303" i="1" s="1"/>
  <c r="B1686" i="1"/>
  <c r="C1686" i="1" s="1"/>
  <c r="B1854" i="1"/>
  <c r="C1854" i="1" s="1"/>
  <c r="B2874" i="1"/>
  <c r="C2874" i="1" s="1"/>
  <c r="B2135" i="1"/>
  <c r="C2135" i="1" s="1"/>
  <c r="B1597" i="1"/>
  <c r="C1597" i="1" s="1"/>
  <c r="B1904" i="1"/>
  <c r="C1904" i="1" s="1"/>
  <c r="B2845" i="1"/>
  <c r="C2845" i="1" s="1"/>
  <c r="B781" i="1"/>
  <c r="C781" i="1" s="1"/>
  <c r="B2630" i="1"/>
  <c r="C2630" i="1" s="1"/>
  <c r="B1123" i="1"/>
  <c r="C1123" i="1" s="1"/>
  <c r="B211" i="1"/>
  <c r="C211" i="1" s="1"/>
  <c r="B1143" i="1"/>
  <c r="C1143" i="1" s="1"/>
  <c r="B2854" i="1"/>
  <c r="C2854" i="1" s="1"/>
  <c r="D2854" i="1" s="1"/>
  <c r="B1341" i="1"/>
  <c r="C1341" i="1" s="1"/>
  <c r="B2317" i="1"/>
  <c r="C2317" i="1" s="1"/>
  <c r="B154" i="1"/>
  <c r="C154" i="1" s="1"/>
  <c r="B2049" i="1"/>
  <c r="C2049" i="1" s="1"/>
  <c r="B2687" i="1"/>
  <c r="C2687" i="1" s="1"/>
  <c r="B1907" i="1"/>
  <c r="C1907" i="1" s="1"/>
  <c r="B2732" i="1"/>
  <c r="C2732" i="1" s="1"/>
  <c r="B977" i="1"/>
  <c r="C977" i="1" s="1"/>
  <c r="B997" i="1"/>
  <c r="C997" i="1" s="1"/>
  <c r="B1979" i="1"/>
  <c r="C1979" i="1" s="1"/>
  <c r="B2884" i="1"/>
  <c r="C2884" i="1" s="1"/>
  <c r="B1546" i="1"/>
  <c r="C1546" i="1" s="1"/>
  <c r="B2105" i="1"/>
  <c r="C2105" i="1" s="1"/>
  <c r="B2300" i="1"/>
  <c r="C2300" i="1" s="1"/>
  <c r="B56" i="1"/>
  <c r="C56" i="1" s="1"/>
  <c r="B2190" i="1"/>
  <c r="C2190" i="1" s="1"/>
  <c r="B1552" i="1"/>
  <c r="C1552" i="1" s="1"/>
  <c r="B692" i="1"/>
  <c r="C692" i="1" s="1"/>
  <c r="B1049" i="1"/>
  <c r="C1049" i="1" s="1"/>
  <c r="B259" i="1"/>
  <c r="C259" i="1" s="1"/>
  <c r="B187" i="1"/>
  <c r="C187" i="1" s="1"/>
  <c r="B1396" i="1"/>
  <c r="C1396" i="1" s="1"/>
  <c r="D1396" i="1" s="1"/>
  <c r="B1196" i="1"/>
  <c r="C1196" i="1" s="1"/>
  <c r="B774" i="1"/>
  <c r="C774" i="1" s="1"/>
  <c r="B2515" i="1"/>
  <c r="C2515" i="1" s="1"/>
  <c r="B92" i="1"/>
  <c r="C92" i="1" s="1"/>
  <c r="B830" i="1"/>
  <c r="C830" i="1" s="1"/>
  <c r="B464" i="1"/>
  <c r="C464" i="1" s="1"/>
  <c r="B1122" i="1"/>
  <c r="C1122" i="1" s="1"/>
  <c r="B1384" i="1"/>
  <c r="C1384" i="1" s="1"/>
  <c r="B2958" i="1"/>
  <c r="C2958" i="1" s="1"/>
  <c r="B634" i="1"/>
  <c r="C634" i="1" s="1"/>
  <c r="B2183" i="1"/>
  <c r="C2183" i="1" s="1"/>
  <c r="B2864" i="1"/>
  <c r="C2864" i="1" s="1"/>
  <c r="B661" i="1"/>
  <c r="C661" i="1" s="1"/>
  <c r="B2691" i="1"/>
  <c r="C2691" i="1" s="1"/>
  <c r="B1890" i="1"/>
  <c r="C1890" i="1" s="1"/>
  <c r="B1058" i="1"/>
  <c r="C1058" i="1" s="1"/>
  <c r="B2225" i="1"/>
  <c r="C2225" i="1" s="1"/>
  <c r="B904" i="1"/>
  <c r="C904" i="1" s="1"/>
  <c r="B678" i="1"/>
  <c r="C678" i="1" s="1"/>
  <c r="B1765" i="1"/>
  <c r="C1765" i="1" s="1"/>
  <c r="B2957" i="1"/>
  <c r="C2957" i="1" s="1"/>
  <c r="B942" i="1"/>
  <c r="C942" i="1" s="1"/>
  <c r="B146" i="1"/>
  <c r="C146" i="1" s="1"/>
  <c r="B2715" i="1"/>
  <c r="C2715" i="1" s="1"/>
  <c r="B2211" i="1"/>
  <c r="C2211" i="1" s="1"/>
  <c r="B1839" i="1"/>
  <c r="C1839" i="1" s="1"/>
  <c r="B775" i="1"/>
  <c r="C775" i="1" s="1"/>
  <c r="B1802" i="1"/>
  <c r="C1802" i="1" s="1"/>
  <c r="B1303" i="1"/>
  <c r="C1303" i="1" s="1"/>
  <c r="B1033" i="1"/>
  <c r="C1033" i="1" s="1"/>
  <c r="B221" i="1"/>
  <c r="C221" i="1" s="1"/>
  <c r="B1012" i="1"/>
  <c r="C1012" i="1" s="1"/>
  <c r="B2270" i="1"/>
  <c r="C2270" i="1" s="1"/>
  <c r="B1908" i="1"/>
  <c r="C1908" i="1" s="1"/>
  <c r="B2837" i="1"/>
  <c r="C2837" i="1" s="1"/>
  <c r="B2668" i="1"/>
  <c r="C2668" i="1" s="1"/>
  <c r="B531" i="1"/>
  <c r="C531" i="1" s="1"/>
  <c r="B2775" i="1"/>
  <c r="C2775" i="1" s="1"/>
  <c r="B2821" i="1"/>
  <c r="C2821" i="1" s="1"/>
  <c r="B1717" i="1"/>
  <c r="C1717" i="1" s="1"/>
  <c r="B878" i="1"/>
  <c r="C878" i="1" s="1"/>
  <c r="B15" i="1"/>
  <c r="C15" i="1" s="1"/>
  <c r="B915" i="1"/>
  <c r="C915" i="1" s="1"/>
  <c r="B1203" i="1"/>
  <c r="C1203" i="1" s="1"/>
  <c r="B1131" i="1"/>
  <c r="C1131" i="1" s="1"/>
  <c r="B1968" i="1"/>
  <c r="C1968" i="1" s="1"/>
  <c r="B2928" i="1"/>
  <c r="C2928" i="1" s="1"/>
  <c r="B1379" i="1"/>
  <c r="C1379" i="1" s="1"/>
  <c r="B708" i="1"/>
  <c r="C708" i="1" s="1"/>
  <c r="B431" i="1"/>
  <c r="C431" i="1" s="1"/>
  <c r="B1858" i="1"/>
  <c r="C1858" i="1" s="1"/>
  <c r="B1784" i="1"/>
  <c r="C1784" i="1" s="1"/>
  <c r="B2657" i="1"/>
  <c r="C2657" i="1" s="1"/>
  <c r="B1027" i="1"/>
  <c r="C1027" i="1" s="1"/>
  <c r="B636" i="1"/>
  <c r="C636" i="1" s="1"/>
  <c r="B1407" i="1"/>
  <c r="C1407" i="1" s="1"/>
  <c r="B750" i="1"/>
  <c r="C750" i="1" s="1"/>
  <c r="B1106" i="1"/>
  <c r="C1106" i="1" s="1"/>
  <c r="B887" i="1"/>
  <c r="C887" i="1" s="1"/>
  <c r="B2134" i="1"/>
  <c r="C2134" i="1" s="1"/>
  <c r="B2106" i="1"/>
  <c r="C2106" i="1" s="1"/>
  <c r="B2242" i="1"/>
  <c r="C2242" i="1" s="1"/>
  <c r="B2649" i="1"/>
  <c r="C2649" i="1" s="1"/>
  <c r="B252" i="1"/>
  <c r="C252" i="1" s="1"/>
  <c r="B1323" i="1"/>
  <c r="C1323" i="1" s="1"/>
  <c r="B1237" i="1"/>
  <c r="C1237" i="1" s="1"/>
  <c r="B88" i="1"/>
  <c r="C88" i="1" s="1"/>
  <c r="B2513" i="1"/>
  <c r="C2513" i="1" s="1"/>
  <c r="B499" i="1"/>
  <c r="C499" i="1" s="1"/>
  <c r="B2595" i="1"/>
  <c r="C2595" i="1" s="1"/>
  <c r="B1265" i="1"/>
  <c r="C1265" i="1" s="1"/>
  <c r="B163" i="1"/>
  <c r="C163" i="1" s="1"/>
  <c r="B2804" i="1"/>
  <c r="C2804" i="1" s="1"/>
  <c r="B1874" i="1"/>
  <c r="C1874" i="1" s="1"/>
  <c r="B816" i="1"/>
  <c r="C816" i="1" s="1"/>
  <c r="B1971" i="1"/>
  <c r="C1971" i="1" s="1"/>
  <c r="B1845" i="1"/>
  <c r="C1845" i="1" s="1"/>
  <c r="B2989" i="1"/>
  <c r="C2989" i="1" s="1"/>
  <c r="B2996" i="1"/>
  <c r="C2996" i="1" s="1"/>
  <c r="B1020" i="1"/>
  <c r="C1020" i="1" s="1"/>
  <c r="B2033" i="1"/>
  <c r="C2033" i="1" s="1"/>
  <c r="B2511" i="1"/>
  <c r="C2511" i="1" s="1"/>
  <c r="D2511" i="1" s="1"/>
  <c r="B1855" i="1"/>
  <c r="C1855" i="1" s="1"/>
  <c r="B238" i="1"/>
  <c r="C238" i="1" s="1"/>
  <c r="B2212" i="1"/>
  <c r="C2212" i="1" s="1"/>
  <c r="B2447" i="1"/>
  <c r="C2447" i="1" s="1"/>
  <c r="B201" i="1"/>
  <c r="C201" i="1" s="1"/>
  <c r="B698" i="1"/>
  <c r="C698" i="1" s="1"/>
  <c r="B1229" i="1"/>
  <c r="C1229" i="1" s="1"/>
  <c r="B1326" i="1"/>
  <c r="C1326" i="1" s="1"/>
  <c r="B231" i="1"/>
  <c r="C231" i="1" s="1"/>
  <c r="B2506" i="1"/>
  <c r="C2506" i="1" s="1"/>
  <c r="B194" i="1"/>
  <c r="C194" i="1" s="1"/>
  <c r="U27" i="7"/>
  <c r="AE27" i="7" s="1"/>
  <c r="P31" i="49"/>
  <c r="P30" i="49"/>
  <c r="J12" i="100"/>
  <c r="P27" i="49"/>
  <c r="P26" i="49"/>
  <c r="P25" i="49"/>
  <c r="P24" i="49"/>
  <c r="K18" i="51"/>
  <c r="P18" i="51" s="1"/>
  <c r="M18" i="51"/>
  <c r="R18" i="51" s="1"/>
  <c r="N18" i="51"/>
  <c r="S18" i="51" s="1"/>
  <c r="J18" i="51"/>
  <c r="O18" i="51" s="1"/>
  <c r="L18" i="51"/>
  <c r="Q18" i="51" s="1"/>
  <c r="K28" i="51"/>
  <c r="P28" i="51" s="1"/>
  <c r="L28" i="51"/>
  <c r="Q28" i="51" s="1"/>
  <c r="J28" i="51"/>
  <c r="O28" i="51" s="1"/>
  <c r="M28" i="51"/>
  <c r="R28" i="51" s="1"/>
  <c r="N28" i="51"/>
  <c r="S28" i="51" s="1"/>
  <c r="AA65" i="47"/>
  <c r="U26" i="7"/>
  <c r="AE26" i="7" s="1"/>
  <c r="V34" i="7"/>
  <c r="AF34" i="7" s="1"/>
  <c r="V34" i="51"/>
  <c r="AF34" i="51" s="1"/>
  <c r="T23" i="7"/>
  <c r="AD23" i="7" s="1"/>
  <c r="K19" i="51"/>
  <c r="P19" i="51" s="1"/>
  <c r="M19" i="51"/>
  <c r="R19" i="51" s="1"/>
  <c r="J19" i="51"/>
  <c r="O19" i="51" s="1"/>
  <c r="L19" i="51"/>
  <c r="Q19" i="51" s="1"/>
  <c r="N19" i="51"/>
  <c r="S19" i="51" s="1"/>
  <c r="U32" i="7"/>
  <c r="AE32" i="7" s="1"/>
  <c r="K20" i="7"/>
  <c r="P20" i="7" s="1"/>
  <c r="M20" i="7"/>
  <c r="R20" i="7" s="1"/>
  <c r="N20" i="7"/>
  <c r="S20" i="7" s="1"/>
  <c r="L20" i="7"/>
  <c r="Q20" i="7" s="1"/>
  <c r="J20" i="7"/>
  <c r="O20" i="7" s="1"/>
  <c r="M103" i="47"/>
  <c r="X26" i="7"/>
  <c r="AH26" i="7" s="1"/>
  <c r="J31" i="51"/>
  <c r="O31" i="51" s="1"/>
  <c r="L31" i="51"/>
  <c r="Q31" i="51" s="1"/>
  <c r="K31" i="51"/>
  <c r="P31" i="51" s="1"/>
  <c r="N31" i="51"/>
  <c r="S31" i="51" s="1"/>
  <c r="M31" i="51"/>
  <c r="R31" i="51" s="1"/>
  <c r="P28" i="49"/>
  <c r="Y43" i="47"/>
  <c r="AA80" i="47"/>
  <c r="AA85" i="47" s="1"/>
  <c r="W27" i="7"/>
  <c r="AG27" i="7" s="1"/>
  <c r="P50" i="54"/>
  <c r="P46" i="54"/>
  <c r="P45" i="54"/>
  <c r="P47" i="54"/>
  <c r="P44" i="54"/>
  <c r="M33" i="7"/>
  <c r="R33" i="7" s="1"/>
  <c r="K33" i="7"/>
  <c r="P33" i="7" s="1"/>
  <c r="L33" i="7"/>
  <c r="Q33" i="7" s="1"/>
  <c r="J33" i="7"/>
  <c r="O33" i="7" s="1"/>
  <c r="N33" i="7"/>
  <c r="S33" i="7" s="1"/>
  <c r="K22" i="51"/>
  <c r="P22" i="51" s="1"/>
  <c r="N22" i="51"/>
  <c r="S22" i="51" s="1"/>
  <c r="J22" i="51"/>
  <c r="O22" i="51" s="1"/>
  <c r="L22" i="51"/>
  <c r="Q22" i="51" s="1"/>
  <c r="M22" i="51"/>
  <c r="R22" i="51" s="1"/>
  <c r="M29" i="7"/>
  <c r="R29" i="7" s="1"/>
  <c r="J29" i="7"/>
  <c r="O29" i="7" s="1"/>
  <c r="N29" i="7"/>
  <c r="S29" i="7" s="1"/>
  <c r="L29" i="7"/>
  <c r="Q29" i="7" s="1"/>
  <c r="K29" i="7"/>
  <c r="P29" i="7" s="1"/>
  <c r="W20" i="51"/>
  <c r="AG20" i="51" s="1"/>
  <c r="X18" i="7"/>
  <c r="AC18" i="7" s="1"/>
  <c r="P29" i="49"/>
  <c r="T26" i="51"/>
  <c r="AD26" i="51" s="1"/>
  <c r="P49" i="54"/>
  <c r="K24" i="7"/>
  <c r="P24" i="7" s="1"/>
  <c r="N24" i="7"/>
  <c r="S24" i="7" s="1"/>
  <c r="J24" i="7"/>
  <c r="O24" i="7" s="1"/>
  <c r="L24" i="7"/>
  <c r="Q24" i="7" s="1"/>
  <c r="M24" i="7"/>
  <c r="R24" i="7" s="1"/>
  <c r="W23" i="7"/>
  <c r="AG23" i="7" s="1"/>
  <c r="K21" i="7"/>
  <c r="P21" i="7" s="1"/>
  <c r="N21" i="7"/>
  <c r="S21" i="7" s="1"/>
  <c r="L21" i="7"/>
  <c r="Q21" i="7" s="1"/>
  <c r="J21" i="7"/>
  <c r="O21" i="7" s="1"/>
  <c r="M21" i="7"/>
  <c r="R21" i="7" s="1"/>
  <c r="K22" i="7"/>
  <c r="P22" i="7" s="1"/>
  <c r="N22" i="7"/>
  <c r="S22" i="7" s="1"/>
  <c r="J22" i="7"/>
  <c r="O22" i="7" s="1"/>
  <c r="M22" i="7"/>
  <c r="R22" i="7" s="1"/>
  <c r="L22" i="7"/>
  <c r="Q22" i="7" s="1"/>
  <c r="X30" i="7"/>
  <c r="AH30" i="7" s="1"/>
  <c r="J31" i="7"/>
  <c r="O31" i="7" s="1"/>
  <c r="L31" i="7"/>
  <c r="Q31" i="7" s="1"/>
  <c r="M31" i="7"/>
  <c r="R31" i="7" s="1"/>
  <c r="N31" i="7"/>
  <c r="S31" i="7" s="1"/>
  <c r="K31" i="7"/>
  <c r="P31" i="7" s="1"/>
  <c r="P48" i="54"/>
  <c r="AA86" i="47"/>
  <c r="L102" i="47"/>
  <c r="K28" i="7"/>
  <c r="P28" i="7" s="1"/>
  <c r="J28" i="7"/>
  <c r="O28" i="7" s="1"/>
  <c r="N28" i="7"/>
  <c r="S28" i="7" s="1"/>
  <c r="M28" i="7"/>
  <c r="R28" i="7" s="1"/>
  <c r="L28" i="7"/>
  <c r="Q28" i="7" s="1"/>
  <c r="W23" i="51"/>
  <c r="AG23" i="51" s="1"/>
  <c r="N27" i="51"/>
  <c r="S27" i="51" s="1"/>
  <c r="M27" i="51"/>
  <c r="R27" i="51" s="1"/>
  <c r="J27" i="51"/>
  <c r="O27" i="51" s="1"/>
  <c r="L27" i="51"/>
  <c r="Q27" i="51" s="1"/>
  <c r="K27" i="51"/>
  <c r="P27" i="51" s="1"/>
  <c r="X25" i="7"/>
  <c r="AH25" i="7" s="1"/>
  <c r="X24" i="51"/>
  <c r="AB85" i="47"/>
  <c r="X19" i="7"/>
  <c r="AH19" i="7" s="1"/>
  <c r="W32" i="51"/>
  <c r="AG32" i="51" s="1"/>
  <c r="V21" i="51"/>
  <c r="AF21" i="51" s="1"/>
  <c r="O14" i="49"/>
  <c r="P12" i="49" s="1"/>
  <c r="AA56" i="47"/>
  <c r="J102" i="47"/>
  <c r="D122" i="83"/>
  <c r="D121" i="83"/>
  <c r="X32" i="7"/>
  <c r="AH32" i="7" s="1"/>
  <c r="K30" i="51"/>
  <c r="P30" i="51" s="1"/>
  <c r="N30" i="51"/>
  <c r="S30" i="51" s="1"/>
  <c r="J30" i="51"/>
  <c r="O30" i="51" s="1"/>
  <c r="M30" i="51"/>
  <c r="R30" i="51" s="1"/>
  <c r="L30" i="51"/>
  <c r="Q30" i="51" s="1"/>
  <c r="U33" i="51"/>
  <c r="AE33" i="51" s="1"/>
  <c r="D1137" i="1" l="1"/>
  <c r="D2063" i="1"/>
  <c r="D2222" i="1"/>
  <c r="AC25" i="51"/>
  <c r="AM25" i="51" s="1"/>
  <c r="AR25" i="51" s="1"/>
  <c r="H9" i="41" s="1"/>
  <c r="M9" i="41" s="1"/>
  <c r="S9" i="41" s="1"/>
  <c r="D2096" i="1"/>
  <c r="D1709" i="1"/>
  <c r="D373" i="1"/>
  <c r="D248" i="1"/>
  <c r="D22" i="1"/>
  <c r="D596" i="1"/>
  <c r="D526" i="1"/>
  <c r="D2165" i="1"/>
  <c r="D1470" i="1"/>
  <c r="D1349" i="1"/>
  <c r="D1862" i="1"/>
  <c r="D261" i="1"/>
  <c r="Z25" i="51"/>
  <c r="AJ25" i="51" s="1"/>
  <c r="AO25" i="51" s="1"/>
  <c r="E9" i="72" s="1"/>
  <c r="J9" i="72" s="1"/>
  <c r="P9" i="72" s="1"/>
  <c r="AA25" i="51"/>
  <c r="AK25" i="51" s="1"/>
  <c r="AP25" i="51" s="1"/>
  <c r="F9" i="78" s="1"/>
  <c r="K9" i="78" s="1"/>
  <c r="Q9" i="78" s="1"/>
  <c r="AB25" i="51"/>
  <c r="AL25" i="51" s="1"/>
  <c r="AQ25" i="51" s="1"/>
  <c r="G9" i="78" s="1"/>
  <c r="L9" i="78" s="1"/>
  <c r="R9" i="78" s="1"/>
  <c r="D2138" i="1"/>
  <c r="AA30" i="7"/>
  <c r="AK30" i="7" s="1"/>
  <c r="AP30" i="7" s="1"/>
  <c r="D40" i="1"/>
  <c r="Z26" i="7"/>
  <c r="AJ26" i="7" s="1"/>
  <c r="AO26" i="7" s="1"/>
  <c r="AC19" i="7"/>
  <c r="AM19" i="7" s="1"/>
  <c r="AR19" i="7" s="1"/>
  <c r="Y26" i="7"/>
  <c r="AI26" i="7" s="1"/>
  <c r="AN26" i="7" s="1"/>
  <c r="Y34" i="7"/>
  <c r="AI34" i="7" s="1"/>
  <c r="AN34" i="7" s="1"/>
  <c r="Z27" i="7"/>
  <c r="AJ27" i="7" s="1"/>
  <c r="AO27" i="7" s="1"/>
  <c r="E28" i="37" s="1"/>
  <c r="D1782" i="1"/>
  <c r="V19" i="7"/>
  <c r="AF19" i="7" s="1"/>
  <c r="AB32" i="7"/>
  <c r="AL32" i="7" s="1"/>
  <c r="AQ32" i="7" s="1"/>
  <c r="AC27" i="7"/>
  <c r="AM27" i="7" s="1"/>
  <c r="AR27" i="7" s="1"/>
  <c r="H28" i="37" s="1"/>
  <c r="AD19" i="7"/>
  <c r="Y19" i="7"/>
  <c r="AI19" i="7" s="1"/>
  <c r="Y27" i="7"/>
  <c r="AI27" i="7" s="1"/>
  <c r="AN27" i="7" s="1"/>
  <c r="D28" i="37" s="1"/>
  <c r="Y32" i="7"/>
  <c r="AI32" i="7" s="1"/>
  <c r="AN32" i="7" s="1"/>
  <c r="Z23" i="7"/>
  <c r="AJ23" i="7" s="1"/>
  <c r="AO23" i="7" s="1"/>
  <c r="P52" i="54"/>
  <c r="AA32" i="7"/>
  <c r="AK32" i="7" s="1"/>
  <c r="AP32" i="7" s="1"/>
  <c r="AA23" i="7"/>
  <c r="AK23" i="7" s="1"/>
  <c r="AP23" i="7" s="1"/>
  <c r="D602" i="1"/>
  <c r="D2583" i="1"/>
  <c r="AB34" i="7"/>
  <c r="AL34" i="7" s="1"/>
  <c r="AQ34" i="7" s="1"/>
  <c r="AC32" i="7"/>
  <c r="AM32" i="7" s="1"/>
  <c r="AR32" i="7" s="1"/>
  <c r="AB30" i="7"/>
  <c r="AL30" i="7" s="1"/>
  <c r="AQ30" i="7" s="1"/>
  <c r="Z34" i="7"/>
  <c r="AJ34" i="7" s="1"/>
  <c r="AO34" i="7" s="1"/>
  <c r="AC34" i="7"/>
  <c r="AM34" i="7" s="1"/>
  <c r="AR34" i="7" s="1"/>
  <c r="AA26" i="7"/>
  <c r="AK26" i="7" s="1"/>
  <c r="AP26" i="7" s="1"/>
  <c r="Z32" i="7"/>
  <c r="AJ32" i="7" s="1"/>
  <c r="AO32" i="7" s="1"/>
  <c r="Y23" i="7"/>
  <c r="AI23" i="7" s="1"/>
  <c r="AN23" i="7" s="1"/>
  <c r="D2221" i="1"/>
  <c r="D2095" i="1"/>
  <c r="Z30" i="7"/>
  <c r="AJ30" i="7" s="1"/>
  <c r="AO30" i="7" s="1"/>
  <c r="AB25" i="7"/>
  <c r="AL25" i="7" s="1"/>
  <c r="AQ25" i="7" s="1"/>
  <c r="D1084" i="1"/>
  <c r="D733" i="1"/>
  <c r="D2615" i="1"/>
  <c r="D1041" i="1"/>
  <c r="D1977" i="1"/>
  <c r="D219" i="1"/>
  <c r="AC25" i="7"/>
  <c r="AM25" i="7" s="1"/>
  <c r="AR25" i="7" s="1"/>
  <c r="Y25" i="7"/>
  <c r="AI25" i="7" s="1"/>
  <c r="AN25" i="7" s="1"/>
  <c r="D589" i="1"/>
  <c r="D1501" i="1"/>
  <c r="D1370" i="1"/>
  <c r="D1781" i="1"/>
  <c r="D1970" i="1"/>
  <c r="D2965" i="1"/>
  <c r="D51" i="1"/>
  <c r="D2604" i="1"/>
  <c r="D1377" i="1"/>
  <c r="D205" i="1"/>
  <c r="D457" i="1"/>
  <c r="D2283" i="1"/>
  <c r="D1619" i="1"/>
  <c r="D1083" i="1"/>
  <c r="D1022" i="1"/>
  <c r="D1499" i="1"/>
  <c r="D933" i="1"/>
  <c r="D1893" i="1"/>
  <c r="D12" i="1"/>
  <c r="D1371" i="1"/>
  <c r="D2595" i="1"/>
  <c r="D2284" i="1"/>
  <c r="D50" i="1"/>
  <c r="D746" i="1"/>
  <c r="D252" i="1"/>
  <c r="D1492" i="1"/>
  <c r="D73" i="1"/>
  <c r="D2348" i="1"/>
  <c r="D2336" i="1"/>
  <c r="D1190" i="1"/>
  <c r="D2940" i="1"/>
  <c r="D2134" i="1"/>
  <c r="D872" i="1"/>
  <c r="D1744" i="1"/>
  <c r="D157" i="1"/>
  <c r="D2200" i="1"/>
  <c r="D878" i="1"/>
  <c r="D1749" i="1"/>
  <c r="D2819" i="1"/>
  <c r="D2499" i="1"/>
  <c r="D1407" i="1"/>
  <c r="D2716" i="1"/>
  <c r="D211" i="1"/>
  <c r="D161" i="1"/>
  <c r="D83" i="1"/>
  <c r="D1607" i="1"/>
  <c r="D2416" i="1"/>
  <c r="D418" i="1"/>
  <c r="D1014" i="1"/>
  <c r="D1633" i="1"/>
  <c r="D1295" i="1"/>
  <c r="D1390" i="1"/>
  <c r="D1532" i="1"/>
  <c r="D2104" i="1"/>
  <c r="D2305" i="1"/>
  <c r="D1683" i="1"/>
  <c r="D2131" i="1"/>
  <c r="D288" i="1"/>
  <c r="D773" i="1"/>
  <c r="D2318" i="1"/>
  <c r="D1352" i="1"/>
  <c r="D1429" i="1"/>
  <c r="D244" i="1"/>
  <c r="D480" i="1"/>
  <c r="D629" i="1"/>
  <c r="D1034" i="1"/>
  <c r="D1534" i="1"/>
  <c r="D328" i="1"/>
  <c r="D1140" i="1"/>
  <c r="D1768" i="1"/>
  <c r="D896" i="1"/>
  <c r="D1872" i="1"/>
  <c r="D2900" i="1"/>
  <c r="D2381" i="1"/>
  <c r="D1376" i="1"/>
  <c r="D1078" i="1"/>
  <c r="D366" i="1"/>
  <c r="D2035" i="1"/>
  <c r="D1412" i="1"/>
  <c r="D1063" i="1"/>
  <c r="D2259" i="1"/>
  <c r="D565" i="1"/>
  <c r="D2955" i="1"/>
  <c r="D974" i="1"/>
  <c r="D1291" i="1"/>
  <c r="D2059" i="1"/>
  <c r="D1174" i="1"/>
  <c r="D688" i="1"/>
  <c r="D466" i="1"/>
  <c r="D1931" i="1"/>
  <c r="D935" i="1"/>
  <c r="D1705" i="1"/>
  <c r="D1485" i="1"/>
  <c r="D2937" i="1"/>
  <c r="D483" i="1"/>
  <c r="D2546" i="1"/>
  <c r="D2529" i="1"/>
  <c r="D251" i="1"/>
  <c r="D1512" i="1"/>
  <c r="D13" i="1"/>
  <c r="D2634" i="1"/>
  <c r="D1278" i="1"/>
  <c r="D1770" i="1"/>
  <c r="D2474" i="1"/>
  <c r="D2058" i="1"/>
  <c r="D2449" i="1"/>
  <c r="D2167" i="1"/>
  <c r="D146" i="1"/>
  <c r="D640" i="1"/>
  <c r="D2282" i="1"/>
  <c r="D963" i="1"/>
  <c r="D866" i="1"/>
  <c r="D506" i="1"/>
  <c r="D1345" i="1"/>
  <c r="D1277" i="1"/>
  <c r="D624" i="1"/>
  <c r="D2913" i="1"/>
  <c r="D530" i="1"/>
  <c r="D727" i="1"/>
  <c r="D1894" i="1"/>
  <c r="D100" i="1"/>
  <c r="D2473" i="1"/>
  <c r="D675" i="1"/>
  <c r="D2580" i="1"/>
  <c r="D1748" i="1"/>
  <c r="D1698" i="1"/>
  <c r="D2734" i="1"/>
  <c r="D346" i="1"/>
  <c r="D2641" i="1"/>
  <c r="D269" i="1"/>
  <c r="D603" i="1"/>
  <c r="D1445" i="1"/>
  <c r="D1065" i="1"/>
  <c r="D303" i="1"/>
  <c r="D412" i="1"/>
  <c r="D99" i="1"/>
  <c r="D2701" i="1"/>
  <c r="D299" i="1"/>
  <c r="D2393" i="1"/>
  <c r="D696" i="1"/>
  <c r="D2652" i="1"/>
  <c r="D246" i="1"/>
  <c r="D2975" i="1"/>
  <c r="D2054" i="1"/>
  <c r="D853" i="1"/>
  <c r="D580" i="1"/>
  <c r="D2750" i="1"/>
  <c r="D82" i="1"/>
  <c r="D716" i="1"/>
  <c r="D1066" i="1"/>
  <c r="D2705" i="1"/>
  <c r="D285" i="1"/>
  <c r="D2204" i="1"/>
  <c r="D1255" i="1"/>
  <c r="D2391" i="1"/>
  <c r="D345" i="1"/>
  <c r="D1599" i="1"/>
  <c r="D1864" i="1"/>
  <c r="D1837" i="1"/>
  <c r="D387" i="1"/>
  <c r="D2238" i="1"/>
  <c r="D2232" i="1"/>
  <c r="D1077" i="1"/>
  <c r="D1030" i="1"/>
  <c r="D2606" i="1"/>
  <c r="D2031" i="1"/>
  <c r="D2879" i="1"/>
  <c r="D2004" i="1"/>
  <c r="D294" i="1"/>
  <c r="D2173" i="1"/>
  <c r="D1812" i="1"/>
  <c r="D2091" i="1"/>
  <c r="D2228" i="1"/>
  <c r="D827" i="1"/>
  <c r="D2655" i="1"/>
  <c r="D2760" i="1"/>
  <c r="D1993" i="1"/>
  <c r="D286" i="1"/>
  <c r="D1680" i="1"/>
  <c r="D1292" i="1"/>
  <c r="D807" i="1"/>
  <c r="D501" i="1"/>
  <c r="D68" i="1"/>
  <c r="D839" i="1"/>
  <c r="D2816" i="1"/>
  <c r="D62" i="1"/>
  <c r="D1092" i="1"/>
  <c r="D1018" i="1"/>
  <c r="D1317" i="1"/>
  <c r="D2972" i="1"/>
  <c r="D1971" i="1"/>
  <c r="D2845" i="1"/>
  <c r="D1260" i="1"/>
  <c r="D1318" i="1"/>
  <c r="D1954" i="1"/>
  <c r="D339" i="1"/>
  <c r="D743" i="1"/>
  <c r="D35" i="1"/>
  <c r="D1056" i="1"/>
  <c r="D315" i="1"/>
  <c r="D2856" i="1"/>
  <c r="D531" i="1"/>
  <c r="D1050" i="1"/>
  <c r="D2591" i="1"/>
  <c r="D2133" i="1"/>
  <c r="D2979" i="1"/>
  <c r="D2241" i="1"/>
  <c r="D1587" i="1"/>
  <c r="D1057" i="1"/>
  <c r="D306" i="1"/>
  <c r="D2415" i="1"/>
  <c r="D2307" i="1"/>
  <c r="D2429" i="1"/>
  <c r="D349" i="1"/>
  <c r="D2820" i="1"/>
  <c r="D2247" i="1"/>
  <c r="D365" i="1"/>
  <c r="D817" i="1"/>
  <c r="D2796" i="1"/>
  <c r="D1320" i="1"/>
  <c r="D919" i="1"/>
  <c r="D617" i="1"/>
  <c r="D165" i="1"/>
  <c r="D1813" i="1"/>
  <c r="D2311" i="1"/>
  <c r="D2090" i="1"/>
  <c r="D2915" i="1"/>
  <c r="D1875" i="1"/>
  <c r="D2853" i="1"/>
  <c r="D1821" i="1"/>
  <c r="D1428" i="1"/>
  <c r="D2472" i="1"/>
  <c r="D538" i="1"/>
  <c r="D1194" i="1"/>
  <c r="D2590" i="1"/>
  <c r="D669" i="1"/>
  <c r="D2670" i="1"/>
  <c r="D1581" i="1"/>
  <c r="D2535" i="1"/>
  <c r="D1505" i="1"/>
  <c r="D2434" i="1"/>
  <c r="D771" i="1"/>
  <c r="D1944" i="1"/>
  <c r="D2939" i="1"/>
  <c r="D491" i="1"/>
  <c r="D1555" i="1"/>
  <c r="D487" i="1"/>
  <c r="D798" i="1"/>
  <c r="D1722" i="1"/>
  <c r="D1637" i="1"/>
  <c r="D1880" i="1"/>
  <c r="D805" i="1"/>
  <c r="D2896" i="1"/>
  <c r="D717" i="1"/>
  <c r="D1741" i="1"/>
  <c r="D2308" i="1"/>
  <c r="D1334" i="1"/>
  <c r="D1953" i="1"/>
  <c r="D674" i="1"/>
  <c r="D2902" i="1"/>
  <c r="D2126" i="1"/>
  <c r="D2556" i="1"/>
  <c r="D2961" i="1"/>
  <c r="D1801" i="1"/>
  <c r="D193" i="1"/>
  <c r="D2698" i="1"/>
  <c r="D820" i="1"/>
  <c r="D2203" i="1"/>
  <c r="D1093" i="1"/>
  <c r="D881" i="1"/>
  <c r="D2005" i="1"/>
  <c r="D2084" i="1"/>
  <c r="D2573" i="1"/>
  <c r="D955" i="1"/>
  <c r="D761" i="1"/>
  <c r="D656" i="1"/>
  <c r="D2943" i="1"/>
  <c r="D2852" i="1"/>
  <c r="D1108" i="1"/>
  <c r="D1141" i="1"/>
  <c r="D2169" i="1"/>
  <c r="D91" i="1"/>
  <c r="D1995" i="1"/>
  <c r="D793" i="1"/>
  <c r="D838" i="1"/>
  <c r="D658" i="1"/>
  <c r="D2140" i="1"/>
  <c r="D2482" i="1"/>
  <c r="D943" i="1"/>
  <c r="D19" i="1"/>
  <c r="D2462" i="1"/>
  <c r="D164" i="1"/>
  <c r="D2863" i="1"/>
  <c r="D2470" i="1"/>
  <c r="D2337" i="1"/>
  <c r="D927" i="1"/>
  <c r="D2579" i="1"/>
  <c r="D928" i="1"/>
  <c r="D1435" i="1"/>
  <c r="D38" i="1"/>
  <c r="D882" i="1"/>
  <c r="D657" i="1"/>
  <c r="D992" i="1"/>
  <c r="D2764" i="1"/>
  <c r="D61" i="1"/>
  <c r="D1898" i="1"/>
  <c r="D1917" i="1"/>
  <c r="D1610" i="1"/>
  <c r="D1521" i="1"/>
  <c r="D2458" i="1"/>
  <c r="D1168" i="1"/>
  <c r="D2421" i="1"/>
  <c r="D46" i="1"/>
  <c r="D2168" i="1"/>
  <c r="D1687" i="1"/>
  <c r="D2949" i="1"/>
  <c r="D237" i="1"/>
  <c r="D257" i="1"/>
  <c r="D1736" i="1"/>
  <c r="D2584" i="1"/>
  <c r="D762" i="1"/>
  <c r="D432" i="1"/>
  <c r="D1695" i="1"/>
  <c r="D2376" i="1"/>
  <c r="D2497" i="1"/>
  <c r="D2420" i="1"/>
  <c r="D2083" i="1"/>
  <c r="D1316" i="1"/>
  <c r="D1969" i="1"/>
  <c r="D1936" i="1"/>
  <c r="D632" i="1"/>
  <c r="D1580" i="1"/>
  <c r="D2439" i="1"/>
  <c r="D837" i="1"/>
  <c r="D417" i="1"/>
  <c r="D2373" i="1"/>
  <c r="D2341" i="1"/>
  <c r="D1704" i="1"/>
  <c r="D2654" i="1"/>
  <c r="D2310" i="1"/>
  <c r="D2498" i="1"/>
  <c r="D806" i="1"/>
  <c r="D722" i="1"/>
  <c r="D1907" i="1"/>
  <c r="D308" i="1"/>
  <c r="D1177" i="1"/>
  <c r="D1300" i="1"/>
  <c r="D103" i="1"/>
  <c r="D2151" i="1"/>
  <c r="D1840" i="1"/>
  <c r="D2085" i="1"/>
  <c r="D2547" i="1"/>
  <c r="D2208" i="1"/>
  <c r="D1003" i="1"/>
  <c r="D1235" i="1"/>
  <c r="D1592" i="1"/>
  <c r="D633" i="1"/>
  <c r="D721" i="1"/>
  <c r="D1618" i="1"/>
  <c r="D516" i="1"/>
  <c r="D2530" i="1"/>
  <c r="D1957" i="1"/>
  <c r="D811" i="1"/>
  <c r="D2947" i="1"/>
  <c r="D1810" i="1"/>
  <c r="D2717" i="1"/>
  <c r="D964" i="1"/>
  <c r="D2935" i="1"/>
  <c r="D1336" i="1"/>
  <c r="D812" i="1"/>
  <c r="D661" i="1"/>
  <c r="D1575" i="1"/>
  <c r="D1329" i="1"/>
  <c r="D552" i="1"/>
  <c r="D1713" i="1"/>
  <c r="D1803" i="1"/>
  <c r="D533" i="1"/>
  <c r="D1161" i="1"/>
  <c r="D1145" i="1"/>
  <c r="D479" i="1"/>
  <c r="D1745" i="1"/>
  <c r="D1606" i="1"/>
  <c r="D585" i="1"/>
  <c r="D2446" i="1"/>
  <c r="D2984" i="1"/>
  <c r="D1617" i="1"/>
  <c r="D2094" i="1"/>
  <c r="D97" i="1"/>
  <c r="D701" i="1"/>
  <c r="D747" i="1"/>
  <c r="D1378" i="1"/>
  <c r="D1099" i="1"/>
  <c r="D2323" i="1"/>
  <c r="D1867" i="1"/>
  <c r="D2910" i="1"/>
  <c r="D546" i="1"/>
  <c r="D1268" i="1"/>
  <c r="D987" i="1"/>
  <c r="D2071" i="1"/>
  <c r="D1526" i="1"/>
  <c r="D2897" i="1"/>
  <c r="D2459" i="1"/>
  <c r="D427" i="1"/>
  <c r="D395" i="1"/>
  <c r="D510" i="1"/>
  <c r="D321" i="1"/>
  <c r="D1136" i="1"/>
  <c r="D2244" i="1"/>
  <c r="D2187" i="1"/>
  <c r="D1885" i="1"/>
  <c r="D1522" i="1"/>
  <c r="D113" i="1"/>
  <c r="D1163" i="1"/>
  <c r="D1328" i="1"/>
  <c r="D1807" i="1"/>
  <c r="D767" i="1"/>
  <c r="D912" i="1"/>
  <c r="D1997" i="1"/>
  <c r="D583" i="1"/>
  <c r="D2928" i="1"/>
  <c r="AB29" i="51"/>
  <c r="AL29" i="51" s="1"/>
  <c r="AQ29" i="51" s="1"/>
  <c r="G13" i="37" s="1"/>
  <c r="L13" i="37" s="1"/>
  <c r="R13" i="37" s="1"/>
  <c r="D699" i="1"/>
  <c r="D1011" i="1"/>
  <c r="D891" i="1"/>
  <c r="D1111" i="1"/>
  <c r="D2276" i="1"/>
  <c r="D2395" i="1"/>
  <c r="D744" i="1"/>
  <c r="D1892" i="1"/>
  <c r="D1588" i="1"/>
  <c r="D2666" i="1"/>
  <c r="D791" i="1"/>
  <c r="D1715" i="1"/>
  <c r="D2774" i="1"/>
  <c r="D2720" i="1"/>
  <c r="D126" i="1"/>
  <c r="D1169" i="1"/>
  <c r="D2692" i="1"/>
  <c r="D1142" i="1"/>
  <c r="D1181" i="1"/>
  <c r="D1258" i="1"/>
  <c r="D2673" i="1"/>
  <c r="D1356" i="1"/>
  <c r="D33" i="1"/>
  <c r="D439" i="1"/>
  <c r="D2914" i="1"/>
  <c r="D1720" i="1"/>
  <c r="D1739" i="1"/>
  <c r="D2467" i="1"/>
  <c r="D2384" i="1"/>
  <c r="D1764" i="1"/>
  <c r="D462" i="1"/>
  <c r="D860" i="1"/>
  <c r="D2527" i="1"/>
  <c r="D2484" i="1"/>
  <c r="D975" i="1"/>
  <c r="D2266" i="1"/>
  <c r="D2577" i="1"/>
  <c r="D1916" i="1"/>
  <c r="D1333" i="1"/>
  <c r="D525" i="1"/>
  <c r="D49" i="1"/>
  <c r="D899" i="1"/>
  <c r="D2628" i="1"/>
  <c r="D1322" i="1"/>
  <c r="D396" i="1"/>
  <c r="D2756" i="1"/>
  <c r="D2848" i="1"/>
  <c r="D1577" i="1"/>
  <c r="D1634" i="1"/>
  <c r="D2262" i="1"/>
  <c r="D796" i="1"/>
  <c r="D2682" i="1"/>
  <c r="D1309" i="1"/>
  <c r="D2582" i="1"/>
  <c r="D2806" i="1"/>
  <c r="D2079" i="1"/>
  <c r="D1098" i="1"/>
  <c r="D950" i="1"/>
  <c r="D1119" i="1"/>
  <c r="D1793" i="1"/>
  <c r="D1866" i="1"/>
  <c r="D542" i="1"/>
  <c r="D672" i="1"/>
  <c r="D1475" i="1"/>
  <c r="D183" i="1"/>
  <c r="D1968" i="1"/>
  <c r="D156" i="1"/>
  <c r="D2776" i="1"/>
  <c r="D1620" i="1"/>
  <c r="D472" i="1"/>
  <c r="D874" i="1"/>
  <c r="D478" i="1"/>
  <c r="D2214" i="1"/>
  <c r="D1665" i="1"/>
  <c r="D2574" i="1"/>
  <c r="D1231" i="1"/>
  <c r="D2627" i="1"/>
  <c r="D752" i="1"/>
  <c r="D1369" i="1"/>
  <c r="D180" i="1"/>
  <c r="D1453" i="1"/>
  <c r="D2772" i="1"/>
  <c r="D2329" i="1"/>
  <c r="D518" i="1"/>
  <c r="D129" i="1"/>
  <c r="D2394" i="1"/>
  <c r="D1721" i="1"/>
  <c r="D2749" i="1"/>
  <c r="D2488" i="1"/>
  <c r="D600" i="1"/>
  <c r="D249" i="1"/>
  <c r="D2062" i="1"/>
  <c r="D116" i="1"/>
  <c r="AF23" i="51"/>
  <c r="AA23" i="51"/>
  <c r="AK23" i="51" s="1"/>
  <c r="D715" i="1"/>
  <c r="D1013" i="1"/>
  <c r="D1012" i="1"/>
  <c r="D2039" i="1"/>
  <c r="D142" i="1"/>
  <c r="D929" i="1"/>
  <c r="D322" i="1"/>
  <c r="D2502" i="1"/>
  <c r="D1981" i="1"/>
  <c r="D2810" i="1"/>
  <c r="D2811" i="1"/>
  <c r="D1314" i="1"/>
  <c r="D2748" i="1"/>
  <c r="D2363" i="1"/>
  <c r="D551" i="1"/>
  <c r="D498" i="1"/>
  <c r="D499" i="1"/>
  <c r="D1638" i="1"/>
  <c r="D1811" i="1"/>
  <c r="D772" i="1"/>
  <c r="D1315" i="1"/>
  <c r="D2933" i="1"/>
  <c r="D556" i="1"/>
  <c r="D940" i="1"/>
  <c r="D547" i="1"/>
  <c r="D2886" i="1"/>
  <c r="D3001" i="1"/>
  <c r="D3000" i="1"/>
  <c r="D2850" i="1"/>
  <c r="D262" i="1"/>
  <c r="D2267" i="1"/>
  <c r="D1994" i="1"/>
  <c r="D1832" i="1"/>
  <c r="D977" i="1"/>
  <c r="D2751" i="1"/>
  <c r="D1337" i="1"/>
  <c r="D2962" i="1"/>
  <c r="D1238" i="1"/>
  <c r="D1629" i="1"/>
  <c r="D1386" i="1"/>
  <c r="D1797" i="1"/>
  <c r="D697" i="1"/>
  <c r="D1545" i="1"/>
  <c r="D1496" i="1"/>
  <c r="D2350" i="1"/>
  <c r="D1911" i="1"/>
  <c r="D2082" i="1"/>
  <c r="D2081" i="1"/>
  <c r="D1796" i="1"/>
  <c r="D1188" i="1"/>
  <c r="D1950" i="1"/>
  <c r="D818" i="1"/>
  <c r="D2786" i="1"/>
  <c r="D587" i="1"/>
  <c r="D1934" i="1"/>
  <c r="D1070" i="1"/>
  <c r="D1860" i="1"/>
  <c r="D2454" i="1"/>
  <c r="D2901" i="1"/>
  <c r="D2934" i="1"/>
  <c r="D208" i="1"/>
  <c r="D2351" i="1"/>
  <c r="D2661" i="1"/>
  <c r="D267" i="1"/>
  <c r="D1524" i="1"/>
  <c r="D1510" i="1"/>
  <c r="D2920" i="1"/>
  <c r="D2278" i="1"/>
  <c r="D2522" i="1"/>
  <c r="D2279" i="1"/>
  <c r="D242" i="1"/>
  <c r="D1723" i="1"/>
  <c r="D1802" i="1"/>
  <c r="D504" i="1"/>
  <c r="D2013" i="1"/>
  <c r="D2177" i="1"/>
  <c r="D2273" i="1"/>
  <c r="D1928" i="1"/>
  <c r="D382" i="1"/>
  <c r="D468" i="1"/>
  <c r="D505" i="1"/>
  <c r="D376" i="1"/>
  <c r="D1420" i="1"/>
  <c r="D490" i="1"/>
  <c r="D489" i="1"/>
  <c r="D2359" i="1"/>
  <c r="D1543" i="1"/>
  <c r="D2160" i="1"/>
  <c r="D1932" i="1"/>
  <c r="D2878" i="1"/>
  <c r="D2932" i="1"/>
  <c r="D718" i="1"/>
  <c r="AC34" i="51"/>
  <c r="AM34" i="51" s="1"/>
  <c r="AR34" i="51" s="1"/>
  <c r="D1740" i="1"/>
  <c r="D804" i="1"/>
  <c r="D2839" i="1"/>
  <c r="D1948" i="1"/>
  <c r="D1224" i="1"/>
  <c r="D175" i="1"/>
  <c r="D1945" i="1"/>
  <c r="D2581" i="1"/>
  <c r="D1366" i="1"/>
  <c r="D428" i="1"/>
  <c r="D429" i="1"/>
  <c r="D166" i="1"/>
  <c r="D167" i="1"/>
  <c r="D803" i="1"/>
  <c r="D527" i="1"/>
  <c r="D65" i="1"/>
  <c r="D2842" i="1"/>
  <c r="D1808" i="1"/>
  <c r="D1048" i="1"/>
  <c r="D2869" i="1"/>
  <c r="D338" i="1"/>
  <c r="D1473" i="1"/>
  <c r="D2237" i="1"/>
  <c r="D1598" i="1"/>
  <c r="D2521" i="1"/>
  <c r="D1385" i="1"/>
  <c r="D644" i="1"/>
  <c r="D1148" i="1"/>
  <c r="D2963" i="1"/>
  <c r="D2964" i="1"/>
  <c r="D921" i="1"/>
  <c r="D353" i="1"/>
  <c r="D1509" i="1"/>
  <c r="D1659" i="1"/>
  <c r="D274" i="1"/>
  <c r="D2343" i="1"/>
  <c r="D2099" i="1"/>
  <c r="D2057" i="1"/>
  <c r="D1229" i="1"/>
  <c r="D1980" i="1"/>
  <c r="D2418" i="1"/>
  <c r="D488" i="1"/>
  <c r="D2468" i="1"/>
  <c r="D2155" i="1"/>
  <c r="D1753" i="1"/>
  <c r="D2813" i="1"/>
  <c r="D2697" i="1"/>
  <c r="D2304" i="1"/>
  <c r="D1650" i="1"/>
  <c r="D1506" i="1"/>
  <c r="D207" i="1"/>
  <c r="D2309" i="1"/>
  <c r="D377" i="1"/>
  <c r="D887" i="1"/>
  <c r="D1341" i="1"/>
  <c r="D217" i="1"/>
  <c r="D1154" i="1"/>
  <c r="D2967" i="1"/>
  <c r="D1005" i="1"/>
  <c r="D802" i="1"/>
  <c r="D1843" i="1"/>
  <c r="D1024" i="1"/>
  <c r="D2022" i="1"/>
  <c r="D230" i="1"/>
  <c r="D1289" i="1"/>
  <c r="D2532" i="1"/>
  <c r="D755" i="1"/>
  <c r="D1790" i="1"/>
  <c r="D1216" i="1"/>
  <c r="D342" i="1"/>
  <c r="D1679" i="1"/>
  <c r="D2137" i="1"/>
  <c r="D628" i="1"/>
  <c r="D1191" i="1"/>
  <c r="D300" i="1"/>
  <c r="D1930" i="1"/>
  <c r="D2400" i="1"/>
  <c r="D141" i="1"/>
  <c r="D264" i="1"/>
  <c r="D170" i="1"/>
  <c r="D1800" i="1"/>
  <c r="D1411" i="1"/>
  <c r="D2683" i="1"/>
  <c r="D2593" i="1"/>
  <c r="D2364" i="1"/>
  <c r="D1628" i="1"/>
  <c r="D312" i="1"/>
  <c r="D788" i="1"/>
  <c r="D2113" i="1"/>
  <c r="D2766" i="1"/>
  <c r="D1631" i="1"/>
  <c r="D2382" i="1"/>
  <c r="D1131" i="1"/>
  <c r="D1049" i="1"/>
  <c r="D2885" i="1"/>
  <c r="D2861" i="1"/>
  <c r="D245" i="1"/>
  <c r="D676" i="1"/>
  <c r="D2868" i="1"/>
  <c r="D214" i="1"/>
  <c r="D893" i="1"/>
  <c r="D136" i="1"/>
  <c r="D2070" i="1"/>
  <c r="D529" i="1"/>
  <c r="D2847" i="1"/>
  <c r="D2980" i="1"/>
  <c r="D2450" i="1"/>
  <c r="D343" i="1"/>
  <c r="D2572" i="1"/>
  <c r="D2721" i="1"/>
  <c r="D900" i="1"/>
  <c r="D1120" i="1"/>
  <c r="D2483" i="1"/>
  <c r="D1126" i="1"/>
  <c r="D1321" i="1"/>
  <c r="D1447" i="1"/>
  <c r="D2272" i="1"/>
  <c r="D1653" i="1"/>
  <c r="D586" i="1"/>
  <c r="D1259" i="1"/>
  <c r="D434" i="1"/>
  <c r="D415" i="1"/>
  <c r="D885" i="1"/>
  <c r="D2508" i="1"/>
  <c r="D2463" i="1"/>
  <c r="D1527" i="1"/>
  <c r="D707" i="1"/>
  <c r="D2916" i="1"/>
  <c r="AN25" i="51"/>
  <c r="D9" i="78" s="1"/>
  <c r="I9" i="78" s="1"/>
  <c r="O9" i="78" s="1"/>
  <c r="D201" i="1"/>
  <c r="D636" i="1"/>
  <c r="D1890" i="1"/>
  <c r="D2687" i="1"/>
  <c r="D759" i="1"/>
  <c r="D1251" i="1"/>
  <c r="D726" i="1"/>
  <c r="D225" i="1"/>
  <c r="D1281" i="1"/>
  <c r="D982" i="1"/>
  <c r="D1635" i="1"/>
  <c r="D115" i="1"/>
  <c r="D2377" i="1"/>
  <c r="D2898" i="1"/>
  <c r="D2645" i="1"/>
  <c r="D1644" i="1"/>
  <c r="D1239" i="1"/>
  <c r="D638" i="1"/>
  <c r="D2286" i="1"/>
  <c r="D1697" i="1"/>
  <c r="D1857" i="1"/>
  <c r="D2836" i="1"/>
  <c r="D2565" i="1"/>
  <c r="D2428" i="1"/>
  <c r="D305" i="1"/>
  <c r="D1023" i="1"/>
  <c r="D2826" i="1"/>
  <c r="D2046" i="1"/>
  <c r="D2873" i="1"/>
  <c r="D2745" i="1"/>
  <c r="D227" i="1"/>
  <c r="D1559" i="1"/>
  <c r="D731" i="1"/>
  <c r="D492" i="1"/>
  <c r="D378" i="1"/>
  <c r="D1474" i="1"/>
  <c r="D599" i="1"/>
  <c r="D2407" i="1"/>
  <c r="D386" i="1"/>
  <c r="D44" i="1"/>
  <c r="D2448" i="1"/>
  <c r="D260" i="1"/>
  <c r="D1794" i="1"/>
  <c r="D1833" i="1"/>
  <c r="D2936" i="1"/>
  <c r="D98" i="1"/>
  <c r="D1498" i="1"/>
  <c r="D859" i="1"/>
  <c r="D2605" i="1"/>
  <c r="D2485" i="1"/>
  <c r="D794" i="1"/>
  <c r="D2258" i="1"/>
  <c r="D768" i="1"/>
  <c r="D797" i="1"/>
  <c r="D1454" i="1"/>
  <c r="D584" i="1"/>
  <c r="D836" i="1"/>
  <c r="D265" i="1"/>
  <c r="D2520" i="1"/>
  <c r="D2342" i="1"/>
  <c r="D1804" i="1"/>
  <c r="D1887" i="1"/>
  <c r="D2857" i="1"/>
  <c r="D130" i="1"/>
  <c r="D2256" i="1"/>
  <c r="D1227" i="1"/>
  <c r="D403" i="1"/>
  <c r="D2735" i="1"/>
  <c r="D2662" i="1"/>
  <c r="D941" i="1"/>
  <c r="D2612" i="1"/>
  <c r="D2536" i="1"/>
  <c r="D543" i="1"/>
  <c r="D2730" i="1"/>
  <c r="D924" i="1"/>
  <c r="D920" i="1"/>
  <c r="D1939" i="1"/>
  <c r="D2438" i="1"/>
  <c r="D573" i="1"/>
  <c r="D1094" i="1"/>
  <c r="D48" i="1"/>
  <c r="D2840" i="1"/>
  <c r="D713" i="1"/>
  <c r="D2919" i="1"/>
  <c r="D567" i="1"/>
  <c r="D831" i="1"/>
  <c r="D1561" i="1"/>
  <c r="D1594" i="1"/>
  <c r="D2620" i="1"/>
  <c r="D1530" i="1"/>
  <c r="D2738" i="1"/>
  <c r="D2909" i="1"/>
  <c r="D143" i="1"/>
  <c r="D2817" i="1"/>
  <c r="D2526" i="1"/>
  <c r="D1421" i="1"/>
  <c r="D1550" i="1"/>
  <c r="D485" i="1"/>
  <c r="D2646" i="1"/>
  <c r="D1193" i="1"/>
  <c r="D1273" i="1"/>
  <c r="D357" i="1"/>
  <c r="D1199" i="1"/>
  <c r="D1541" i="1"/>
  <c r="D184" i="1"/>
  <c r="D965" i="1"/>
  <c r="D736" i="1"/>
  <c r="D932" i="1"/>
  <c r="D1160" i="1"/>
  <c r="D710" i="1"/>
  <c r="D1692" i="1"/>
  <c r="D1465" i="1"/>
  <c r="D405" i="1"/>
  <c r="D760" i="1"/>
  <c r="D23" i="1"/>
  <c r="D1252" i="1"/>
  <c r="D1166" i="1"/>
  <c r="D2231" i="1"/>
  <c r="D1117" i="1"/>
  <c r="D1886" i="1"/>
  <c r="D1805" i="1"/>
  <c r="D1361" i="1"/>
  <c r="D2788" i="1"/>
  <c r="D1017" i="1"/>
  <c r="D325" i="1"/>
  <c r="D1344" i="1"/>
  <c r="D1010" i="1"/>
  <c r="D1051" i="1"/>
  <c r="D2263" i="1"/>
  <c r="D745" i="1"/>
  <c r="D1455" i="1"/>
  <c r="D1456" i="1"/>
  <c r="D2585" i="1"/>
  <c r="D2870" i="1"/>
  <c r="D1355" i="1"/>
  <c r="D1335" i="1"/>
  <c r="D1249" i="1"/>
  <c r="D1426" i="1"/>
  <c r="D1726" i="1"/>
  <c r="D1417" i="1"/>
  <c r="D2571" i="1"/>
  <c r="D2080" i="1"/>
  <c r="D1836" i="1"/>
  <c r="D2087" i="1"/>
  <c r="D650" i="1"/>
  <c r="D1254" i="1"/>
  <c r="D2431" i="1"/>
  <c r="D1074" i="1"/>
  <c r="D1554" i="1"/>
  <c r="D2578" i="1"/>
  <c r="D1234" i="1"/>
  <c r="D2987" i="1"/>
  <c r="D1164" i="1"/>
  <c r="D2475" i="1"/>
  <c r="D1602" i="1"/>
  <c r="D2681" i="1"/>
  <c r="D1672" i="1"/>
  <c r="D968" i="1"/>
  <c r="D1294" i="1"/>
  <c r="D2018" i="1"/>
  <c r="D2354" i="1"/>
  <c r="D1031" i="1"/>
  <c r="D766" i="1"/>
  <c r="D375" i="1"/>
  <c r="D1133" i="1"/>
  <c r="D2770" i="1"/>
  <c r="D2993" i="1"/>
  <c r="D1002" i="1"/>
  <c r="D1604" i="1"/>
  <c r="D1727" i="1"/>
  <c r="D459" i="1"/>
  <c r="D1914" i="1"/>
  <c r="D2369" i="1"/>
  <c r="D826" i="1"/>
  <c r="D2294" i="1"/>
  <c r="D2006" i="1"/>
  <c r="D2038" i="1"/>
  <c r="D2290" i="1"/>
  <c r="D2517" i="1"/>
  <c r="D2702" i="1"/>
  <c r="D1357" i="1"/>
  <c r="D2617" i="1"/>
  <c r="D2302" i="1"/>
  <c r="D185" i="1"/>
  <c r="D1849" i="1"/>
  <c r="D2227" i="1"/>
  <c r="D1494" i="1"/>
  <c r="D1362" i="1"/>
  <c r="D2028" i="1"/>
  <c r="D1389" i="1"/>
  <c r="D445" i="1"/>
  <c r="D945" i="1"/>
  <c r="D2889" i="1"/>
  <c r="D469" i="1"/>
  <c r="D1677" i="1"/>
  <c r="D435" i="1"/>
  <c r="D1044" i="1"/>
  <c r="D2865" i="1"/>
  <c r="D2064" i="1"/>
  <c r="D2387" i="1"/>
  <c r="D2148" i="1"/>
  <c r="D1395" i="1"/>
  <c r="D2025" i="1"/>
  <c r="D1556" i="1"/>
  <c r="D1964" i="1"/>
  <c r="D1667" i="1"/>
  <c r="D2235" i="1"/>
  <c r="D959" i="1"/>
  <c r="D2977" i="1"/>
  <c r="D1187" i="1"/>
  <c r="D171" i="1"/>
  <c r="D186" i="1"/>
  <c r="D2338" i="1"/>
  <c r="D1332" i="1"/>
  <c r="D1792" i="1"/>
  <c r="D2445" i="1"/>
  <c r="D1062" i="1"/>
  <c r="D687" i="1"/>
  <c r="D135" i="1"/>
  <c r="D1275" i="1"/>
  <c r="D2331" i="1"/>
  <c r="D1639" i="1"/>
  <c r="D2357" i="1"/>
  <c r="D112" i="1"/>
  <c r="D203" i="1"/>
  <c r="D1047" i="1"/>
  <c r="D220" i="1"/>
  <c r="D2455" i="1"/>
  <c r="D735" i="1"/>
  <c r="D1742" i="1"/>
  <c r="D1101" i="1"/>
  <c r="D2360" i="1"/>
  <c r="D1574" i="1"/>
  <c r="D1910" i="1"/>
  <c r="D1367" i="1"/>
  <c r="D1654" i="1"/>
  <c r="D619" i="1"/>
  <c r="D389" i="1"/>
  <c r="D2146" i="1"/>
  <c r="D2289" i="1"/>
  <c r="D683" i="1"/>
  <c r="D2372" i="1"/>
  <c r="D1348" i="1"/>
  <c r="D1372" i="1"/>
  <c r="D1438" i="1"/>
  <c r="D1603" i="1"/>
  <c r="D1614" i="1"/>
  <c r="D2895" i="1"/>
  <c r="D1985" i="1"/>
  <c r="D209" i="1"/>
  <c r="D2833" i="1"/>
  <c r="D2243" i="1"/>
  <c r="D2973" i="1"/>
  <c r="D2249" i="1"/>
  <c r="D2265" i="1"/>
  <c r="D2537" i="1"/>
  <c r="D1213" i="1"/>
  <c r="D2759" i="1"/>
  <c r="D448" i="1"/>
  <c r="D989" i="1"/>
  <c r="D2983" i="1"/>
  <c r="D54" i="1"/>
  <c r="D609" i="1"/>
  <c r="D2147" i="1"/>
  <c r="D2807" i="1"/>
  <c r="D2533" i="1"/>
  <c r="D608" i="1"/>
  <c r="D2491" i="1"/>
  <c r="D625" i="1"/>
  <c r="D616" i="1"/>
  <c r="D124" i="1"/>
  <c r="D1106" i="1"/>
  <c r="D2049" i="1"/>
  <c r="D858" i="1"/>
  <c r="D1103" i="1"/>
  <c r="D52" i="1"/>
  <c r="D1210" i="1"/>
  <c r="D914" i="1"/>
  <c r="D700" i="1"/>
  <c r="D1621" i="1"/>
  <c r="D829" i="1"/>
  <c r="D1663" i="1"/>
  <c r="D1973" i="1"/>
  <c r="D1851" i="1"/>
  <c r="D861" i="1"/>
  <c r="D2596" i="1"/>
  <c r="D327" i="1"/>
  <c r="D1158" i="1"/>
  <c r="D2032" i="1"/>
  <c r="D392" i="1"/>
  <c r="D2559" i="1"/>
  <c r="D1809" i="1"/>
  <c r="D690" i="1"/>
  <c r="D2883" i="1"/>
  <c r="D364" i="1"/>
  <c r="D2858" i="1"/>
  <c r="D1121" i="1"/>
  <c r="D2689" i="1"/>
  <c r="D77" i="1"/>
  <c r="D1144" i="1"/>
  <c r="D951" i="1"/>
  <c r="D1828" i="1"/>
  <c r="D2557" i="1"/>
  <c r="D1244" i="1"/>
  <c r="D741" i="1"/>
  <c r="D742" i="1"/>
  <c r="D844" i="1"/>
  <c r="D845" i="1"/>
  <c r="D1992" i="1"/>
  <c r="D1991" i="1"/>
  <c r="D986" i="1"/>
  <c r="D985" i="1"/>
  <c r="D80" i="1"/>
  <c r="D2102" i="1"/>
  <c r="D1418" i="1"/>
  <c r="D1232" i="1"/>
  <c r="D1233" i="1"/>
  <c r="D724" i="1"/>
  <c r="D1921" i="1"/>
  <c r="D1214" i="1"/>
  <c r="D1215" i="1"/>
  <c r="D665" i="1"/>
  <c r="D1583" i="1"/>
  <c r="D1440" i="1"/>
  <c r="D1441" i="1"/>
  <c r="D2637" i="1"/>
  <c r="D2291" i="1"/>
  <c r="D1075" i="1"/>
  <c r="D835" i="1"/>
  <c r="D834" i="1"/>
  <c r="D1632" i="1"/>
  <c r="D2417" i="1"/>
  <c r="D2330" i="1"/>
  <c r="D47" i="1"/>
  <c r="D361" i="1"/>
  <c r="D362" i="1"/>
  <c r="D2709" i="1"/>
  <c r="D2065" i="1"/>
  <c r="D3002" i="1"/>
  <c r="D3003" i="1"/>
  <c r="D1032" i="1"/>
  <c r="D1033" i="1"/>
  <c r="D391" i="1"/>
  <c r="D390" i="1"/>
  <c r="D1881" i="1"/>
  <c r="D1882" i="1"/>
  <c r="D1468" i="1"/>
  <c r="D1469" i="1"/>
  <c r="D1688" i="1"/>
  <c r="D1689" i="1"/>
  <c r="D1459" i="1"/>
  <c r="D1458" i="1"/>
  <c r="D1823" i="1"/>
  <c r="D783" i="1"/>
  <c r="D204" i="1"/>
  <c r="D2236" i="1"/>
  <c r="D2685" i="1"/>
  <c r="D2877" i="1"/>
  <c r="D2876" i="1"/>
  <c r="D119" i="1"/>
  <c r="D118" i="1"/>
  <c r="D1364" i="1"/>
  <c r="D1363" i="1"/>
  <c r="D2371" i="1"/>
  <c r="D2370" i="1"/>
  <c r="D2608" i="1"/>
  <c r="D2607" i="1"/>
  <c r="D2969" i="1"/>
  <c r="D1104" i="1"/>
  <c r="D967" i="1"/>
  <c r="D21" i="1"/>
  <c r="D1523" i="1"/>
  <c r="D1750" i="1"/>
  <c r="D2988" i="1"/>
  <c r="D1666" i="1"/>
  <c r="D2809" i="1"/>
  <c r="D655" i="1"/>
  <c r="D734" i="1"/>
  <c r="D777" i="1"/>
  <c r="D2771" i="1"/>
  <c r="D1408" i="1"/>
  <c r="D199" i="1"/>
  <c r="D200" i="1"/>
  <c r="D355" i="1"/>
  <c r="D2313" i="1"/>
  <c r="D2680" i="1"/>
  <c r="D2549" i="1"/>
  <c r="D1786" i="1"/>
  <c r="D108" i="1"/>
  <c r="D86" i="1"/>
  <c r="D562" i="1"/>
  <c r="D2052" i="1"/>
  <c r="D1491" i="1"/>
  <c r="D1755" i="1"/>
  <c r="D568" i="1"/>
  <c r="D2719" i="1"/>
  <c r="D2718" i="1"/>
  <c r="D233" i="1"/>
  <c r="D815" i="1"/>
  <c r="D2117" i="1"/>
  <c r="D1601" i="1"/>
  <c r="D1221" i="1"/>
  <c r="D3006" i="1"/>
  <c r="D282" i="1"/>
  <c r="D2588" i="1"/>
  <c r="D2587" i="1"/>
  <c r="D1129" i="1"/>
  <c r="D1130" i="1"/>
  <c r="D2888" i="1"/>
  <c r="D2887" i="1"/>
  <c r="D1876" i="1"/>
  <c r="D1877" i="1"/>
  <c r="D2544" i="1"/>
  <c r="D2545" i="1"/>
  <c r="D74" i="1"/>
  <c r="D45" i="1"/>
  <c r="D2754" i="1"/>
  <c r="D2753" i="1"/>
  <c r="D1528" i="1"/>
  <c r="D2494" i="1"/>
  <c r="D2339" i="1"/>
  <c r="D1643" i="1"/>
  <c r="D1642" i="1"/>
  <c r="D374" i="1"/>
  <c r="D1493" i="1"/>
  <c r="D2201" i="1"/>
  <c r="D2202" i="1"/>
  <c r="D1312" i="1"/>
  <c r="D1035" i="1"/>
  <c r="D2479" i="1"/>
  <c r="D2478" i="1"/>
  <c r="D2736" i="1"/>
  <c r="D2790" i="1"/>
  <c r="D2970" i="1"/>
  <c r="D2509" i="1"/>
  <c r="D25" i="1"/>
  <c r="D832" i="1"/>
  <c r="D1398" i="1"/>
  <c r="D1397" i="1"/>
  <c r="D2000" i="1"/>
  <c r="D1402" i="1"/>
  <c r="D1401" i="1"/>
  <c r="D2170" i="1"/>
  <c r="D318" i="1"/>
  <c r="D1095" i="1"/>
  <c r="D281" i="1"/>
  <c r="D335" i="1"/>
  <c r="D1183" i="1"/>
  <c r="D1182" i="1"/>
  <c r="D1825" i="1"/>
  <c r="D1824" i="1"/>
  <c r="D1611" i="1"/>
  <c r="D620" i="1"/>
  <c r="D2777" i="1"/>
  <c r="D359" i="1"/>
  <c r="D841" i="1"/>
  <c r="D2872" i="1"/>
  <c r="D2871" i="1"/>
  <c r="D1184" i="1"/>
  <c r="D1747" i="1"/>
  <c r="D1746" i="1"/>
  <c r="D2245" i="1"/>
  <c r="D2476" i="1"/>
  <c r="D1368" i="1"/>
  <c r="D334" i="1"/>
  <c r="D2548" i="1"/>
  <c r="D1471" i="1"/>
  <c r="D2952" i="1"/>
  <c r="D626" i="1"/>
  <c r="D198" i="1"/>
  <c r="D1039" i="1"/>
  <c r="D2713" i="1"/>
  <c r="D348" i="1"/>
  <c r="D347" i="1"/>
  <c r="D984" i="1"/>
  <c r="D983" i="1"/>
  <c r="D1529" i="1"/>
  <c r="D1531" i="1"/>
  <c r="D2340" i="1"/>
  <c r="D1783" i="1"/>
  <c r="D2480" i="1"/>
  <c r="D2481" i="1"/>
  <c r="D1114" i="1"/>
  <c r="D2597" i="1"/>
  <c r="D1058" i="1"/>
  <c r="D1059" i="1"/>
  <c r="D1641" i="1"/>
  <c r="D1539" i="1"/>
  <c r="D1538" i="1"/>
  <c r="D2101" i="1"/>
  <c r="D1097" i="1"/>
  <c r="D1096" i="1"/>
  <c r="D436" i="1"/>
  <c r="D649" i="1"/>
  <c r="D1439" i="1"/>
  <c r="D190" i="1"/>
  <c r="D2514" i="1"/>
  <c r="D1784" i="1"/>
  <c r="D2668" i="1"/>
  <c r="D648" i="1"/>
  <c r="D647" i="1"/>
  <c r="D2808" i="1"/>
  <c r="D2356" i="1"/>
  <c r="D2355" i="1"/>
  <c r="D862" i="1"/>
  <c r="D1514" i="1"/>
  <c r="D398" i="1"/>
  <c r="D397" i="1"/>
  <c r="D1286" i="1"/>
  <c r="D2012" i="1"/>
  <c r="D2011" i="1"/>
  <c r="D1045" i="1"/>
  <c r="D280" i="1"/>
  <c r="D2884" i="1"/>
  <c r="D1865" i="1"/>
  <c r="D1287" i="1"/>
  <c r="D1288" i="1"/>
  <c r="D2773" i="1"/>
  <c r="D2712" i="1"/>
  <c r="D1743" i="1"/>
  <c r="D2188" i="1"/>
  <c r="D2199" i="1"/>
  <c r="D1138" i="1"/>
  <c r="T32" i="51"/>
  <c r="AD32" i="51" s="1"/>
  <c r="D528" i="1"/>
  <c r="D238" i="1"/>
  <c r="D1845" i="1"/>
  <c r="D1303" i="1"/>
  <c r="D830" i="1"/>
  <c r="D782" i="1"/>
  <c r="D781" i="1"/>
  <c r="D1551" i="1"/>
  <c r="D292" i="1"/>
  <c r="D291" i="1"/>
  <c r="D570" i="1"/>
  <c r="D2143" i="1"/>
  <c r="D2142" i="1"/>
  <c r="D2041" i="1"/>
  <c r="D513" i="1"/>
  <c r="D1055" i="1"/>
  <c r="D107" i="1"/>
  <c r="D1927" i="1"/>
  <c r="D1926" i="1"/>
  <c r="D1165" i="1"/>
  <c r="D1113" i="1"/>
  <c r="D2667" i="1"/>
  <c r="D344" i="1"/>
  <c r="D2704" i="1"/>
  <c r="D2703" i="1"/>
  <c r="D2251" i="1"/>
  <c r="D2250" i="1"/>
  <c r="D2626" i="1"/>
  <c r="D1922" i="1"/>
  <c r="D1264" i="1"/>
  <c r="D2441" i="1"/>
  <c r="D670" i="1"/>
  <c r="D2743" i="1"/>
  <c r="D2744" i="1"/>
  <c r="D1434" i="1"/>
  <c r="D1433" i="1"/>
  <c r="D615" i="1"/>
  <c r="D1951" i="1"/>
  <c r="D1952" i="1"/>
  <c r="D2841" i="1"/>
  <c r="D612" i="1"/>
  <c r="D1958" i="1"/>
  <c r="D1660" i="1"/>
  <c r="D1068" i="1"/>
  <c r="D1069" i="1"/>
  <c r="D2953" i="1"/>
  <c r="D613" i="1"/>
  <c r="D2518" i="1"/>
  <c r="D474" i="1"/>
  <c r="D475" i="1"/>
  <c r="D851" i="1"/>
  <c r="D852" i="1"/>
  <c r="D71" i="1"/>
  <c r="D72" i="1"/>
  <c r="D28" i="1"/>
  <c r="D441" i="1"/>
  <c r="D9" i="1"/>
  <c r="D1245" i="1"/>
  <c r="D407" i="1"/>
  <c r="D579" i="1"/>
  <c r="D578" i="1"/>
  <c r="D66" i="1"/>
  <c r="D67" i="1"/>
  <c r="D1425" i="1"/>
  <c r="D1424" i="1"/>
  <c r="D1974" i="1"/>
  <c r="D960" i="1"/>
  <c r="D2538" i="1"/>
  <c r="D2321" i="1"/>
  <c r="D2539" i="1"/>
  <c r="D1923" i="1"/>
  <c r="D1052" i="1"/>
  <c r="D2954" i="1"/>
  <c r="D2866" i="1"/>
  <c r="D1383" i="1"/>
  <c r="D316" i="1"/>
  <c r="D2599" i="1"/>
  <c r="D2088" i="1"/>
  <c r="D2675" i="1"/>
  <c r="D926" i="1"/>
  <c r="D800" i="1"/>
  <c r="D937" i="1"/>
  <c r="D95" i="1"/>
  <c r="D196" i="1"/>
  <c r="D2457" i="1"/>
  <c r="D2333" i="1"/>
  <c r="D2778" i="1"/>
  <c r="D2563" i="1"/>
  <c r="D2562" i="1"/>
  <c r="D444" i="1"/>
  <c r="D2997" i="1"/>
  <c r="D1265" i="1"/>
  <c r="D2929" i="1"/>
  <c r="D222" i="1"/>
  <c r="D1122" i="1"/>
  <c r="D2105" i="1"/>
  <c r="D2832" i="1"/>
  <c r="D153" i="1"/>
  <c r="D1674" i="1"/>
  <c r="D2375" i="1"/>
  <c r="D1176" i="1"/>
  <c r="D1557" i="1"/>
  <c r="D1710" i="1"/>
  <c r="D2111" i="1"/>
  <c r="D409" i="1"/>
  <c r="D1263" i="1"/>
  <c r="D296" i="1"/>
  <c r="D1150" i="1"/>
  <c r="D1135" i="1"/>
  <c r="D2007" i="1"/>
  <c r="D192" i="1"/>
  <c r="D1178" i="1"/>
  <c r="D109" i="1"/>
  <c r="D1202" i="1"/>
  <c r="D2297" i="1"/>
  <c r="D1404" i="1"/>
  <c r="D1248" i="1"/>
  <c r="D1982" i="1"/>
  <c r="D1516" i="1"/>
  <c r="D1780" i="1"/>
  <c r="D1358" i="1"/>
  <c r="D2444" i="1"/>
  <c r="D2799" i="1"/>
  <c r="D1043" i="1"/>
  <c r="D1508" i="1"/>
  <c r="D1156" i="1"/>
  <c r="D1167" i="1"/>
  <c r="D42" i="1"/>
  <c r="D1758" i="1"/>
  <c r="D399" i="1"/>
  <c r="D691" i="1"/>
  <c r="D2553" i="1"/>
  <c r="D1339" i="1"/>
  <c r="D1449" i="1"/>
  <c r="D856" i="1"/>
  <c r="D178" i="1"/>
  <c r="D195" i="1"/>
  <c r="D2691" i="1"/>
  <c r="D1547" i="1"/>
  <c r="D2623" i="1"/>
  <c r="D714" i="1"/>
  <c r="D999" i="1"/>
  <c r="D2890" i="1"/>
  <c r="D1605" i="1"/>
  <c r="D2647" i="1"/>
  <c r="D2060" i="1"/>
  <c r="D8" i="1"/>
  <c r="D88" i="1"/>
  <c r="D915" i="1"/>
  <c r="D776" i="1"/>
  <c r="D2183" i="1"/>
  <c r="D1552" i="1"/>
  <c r="D1905" i="1"/>
  <c r="D2994" i="1"/>
  <c r="D2175" i="1"/>
  <c r="D2714" i="1"/>
  <c r="D2128" i="1"/>
  <c r="D2411" i="1"/>
  <c r="D875" i="1"/>
  <c r="D138" i="1"/>
  <c r="D1913" i="1"/>
  <c r="D2658" i="1"/>
  <c r="D903" i="1"/>
  <c r="D1211" i="1"/>
  <c r="D2076" i="1"/>
  <c r="D2561" i="1"/>
  <c r="D2576" i="1"/>
  <c r="D275" i="1"/>
  <c r="D548" i="1"/>
  <c r="D980" i="1"/>
  <c r="D215" i="1"/>
  <c r="D1451" i="1"/>
  <c r="D1844" i="1"/>
  <c r="D2862" i="1"/>
  <c r="D1965" i="1"/>
  <c r="D1243" i="1"/>
  <c r="D1399" i="1"/>
  <c r="D1036" i="1"/>
  <c r="D420" i="1"/>
  <c r="D1257" i="1"/>
  <c r="D2814" i="1"/>
  <c r="D607" i="1"/>
  <c r="D2048" i="1"/>
  <c r="D1584" i="1"/>
  <c r="D1016" i="1"/>
  <c r="D1595" i="1"/>
  <c r="D2179" i="1"/>
  <c r="D621" i="1"/>
  <c r="D952" i="1"/>
  <c r="D1626" i="1"/>
  <c r="D939" i="1"/>
  <c r="D2504" i="1"/>
  <c r="D1676" i="1"/>
  <c r="D1479" i="1"/>
  <c r="D1304" i="1"/>
  <c r="D908" i="1"/>
  <c r="D2924" i="1"/>
  <c r="D825" i="1"/>
  <c r="D2741" i="1"/>
  <c r="D1757" i="1"/>
  <c r="D177" i="1"/>
  <c r="D2676" i="1"/>
  <c r="D646" i="1"/>
  <c r="D765" i="1"/>
  <c r="D2708" i="1"/>
  <c r="D1778" i="1"/>
  <c r="D2710" i="1"/>
  <c r="D1460" i="1"/>
  <c r="D1719" i="1"/>
  <c r="D2765" i="1"/>
  <c r="D1432" i="1"/>
  <c r="D1236" i="1"/>
  <c r="D2176" i="1"/>
  <c r="D1943" i="1"/>
  <c r="D1276" i="1"/>
  <c r="D1170" i="1"/>
  <c r="D1646" i="1"/>
  <c r="D1311" i="1"/>
  <c r="D2125" i="1"/>
  <c r="D369" i="1"/>
  <c r="D2163" i="1"/>
  <c r="D55" i="1"/>
  <c r="D2540" i="1"/>
  <c r="D789" i="1"/>
  <c r="D2180" i="1"/>
  <c r="D1076" i="1"/>
  <c r="D2129" i="1"/>
  <c r="D2295" i="1"/>
  <c r="D1198" i="1"/>
  <c r="D1285" i="1"/>
  <c r="D2334" i="1"/>
  <c r="D1280" i="1"/>
  <c r="D886" i="1"/>
  <c r="D2114" i="1"/>
  <c r="D784" i="1"/>
  <c r="D1246" i="1"/>
  <c r="D1102" i="1"/>
  <c r="D1186" i="1"/>
  <c r="D2906" i="1"/>
  <c r="D680" i="1"/>
  <c r="D2592" i="1"/>
  <c r="D1457" i="1"/>
  <c r="D740" i="1"/>
  <c r="D2424" i="1"/>
  <c r="D356" i="1"/>
  <c r="D1900" i="1"/>
  <c r="D333" i="1"/>
  <c r="D159" i="1"/>
  <c r="D2699" i="1"/>
  <c r="D229" i="1"/>
  <c r="D2927" i="1"/>
  <c r="D2624" i="1"/>
  <c r="D2303" i="1"/>
  <c r="D1088" i="1"/>
  <c r="D1615" i="1"/>
  <c r="D495" i="1"/>
  <c r="D1444" i="1"/>
  <c r="D630" i="1"/>
  <c r="D2358" i="1"/>
  <c r="D414" i="1"/>
  <c r="D182" i="1"/>
  <c r="D1716" i="1"/>
  <c r="D168" i="1"/>
  <c r="D279" i="1"/>
  <c r="D2024" i="1"/>
  <c r="D2568" i="1"/>
  <c r="D1728" i="1"/>
  <c r="D1519" i="1"/>
  <c r="D2968" i="1"/>
  <c r="D2156" i="1"/>
  <c r="D684" i="1"/>
  <c r="D1373" i="1"/>
  <c r="D1090" i="1"/>
  <c r="D2726" i="1"/>
  <c r="D2648" i="1"/>
  <c r="D1924" i="1"/>
  <c r="D2185" i="1"/>
  <c r="D1906" i="1"/>
  <c r="D1609" i="1"/>
  <c r="D1053" i="1"/>
  <c r="D1848" i="1"/>
  <c r="D2638" i="1"/>
  <c r="D2405" i="1"/>
  <c r="D1500" i="1"/>
  <c r="D2616" i="1"/>
  <c r="D307" i="1"/>
  <c r="D202" i="1"/>
  <c r="D757" i="1"/>
  <c r="D1151" i="1"/>
  <c r="D467" i="1"/>
  <c r="D823" i="1"/>
  <c r="D1004" i="1"/>
  <c r="D961" i="1"/>
  <c r="D2782" i="1"/>
  <c r="D226" i="1"/>
  <c r="D732" i="1"/>
  <c r="D2882" i="1"/>
  <c r="D2206" i="1"/>
  <c r="D1734" i="1"/>
  <c r="D809" i="1"/>
  <c r="D458" i="1"/>
  <c r="D2430" i="1"/>
  <c r="D210" i="1"/>
  <c r="D2042" i="1"/>
  <c r="D2609" i="1"/>
  <c r="D1895" i="1"/>
  <c r="D2383" i="1"/>
  <c r="D1253" i="1"/>
  <c r="D43" i="1"/>
  <c r="D2558" i="1"/>
  <c r="D298" i="1"/>
  <c r="D1365" i="1"/>
  <c r="D1511" i="1"/>
  <c r="D1915" i="1"/>
  <c r="D2495" i="1"/>
  <c r="D1544" i="1"/>
  <c r="D2564" i="1"/>
  <c r="D1540" i="1"/>
  <c r="D1442" i="1"/>
  <c r="D1000" i="1"/>
  <c r="D2755" i="1"/>
  <c r="D2150" i="1"/>
  <c r="D795" i="1"/>
  <c r="D174" i="1"/>
  <c r="D2003" i="1"/>
  <c r="D1340" i="1"/>
  <c r="D1701" i="1"/>
  <c r="D406" i="1"/>
  <c r="D944" i="1"/>
  <c r="D20" i="1"/>
  <c r="D1682" i="1"/>
  <c r="D1490" i="1"/>
  <c r="D2026" i="1"/>
  <c r="D125" i="1"/>
  <c r="D239" i="1"/>
  <c r="D677" i="1"/>
  <c r="D1871" i="1"/>
  <c r="D521" i="1"/>
  <c r="D1192" i="1"/>
  <c r="D2715" i="1"/>
  <c r="D216" i="1"/>
  <c r="D310" i="1"/>
  <c r="D424" i="1"/>
  <c r="D311" i="1"/>
  <c r="D756" i="1"/>
  <c r="D2881" i="1"/>
  <c r="D169" i="1"/>
  <c r="D2257" i="1"/>
  <c r="D962" i="1"/>
  <c r="D2061" i="1"/>
  <c r="D828" i="1"/>
  <c r="D2921" i="1"/>
  <c r="D354" i="1"/>
  <c r="D350" i="1"/>
  <c r="D351" i="1"/>
  <c r="D259" i="1"/>
  <c r="D258" i="1"/>
  <c r="D1838" i="1"/>
  <c r="D2923" i="1"/>
  <c r="D2487" i="1"/>
  <c r="D2486" i="1"/>
  <c r="D36" i="1"/>
  <c r="D37" i="1"/>
  <c r="D2109" i="1"/>
  <c r="D2110" i="1"/>
  <c r="D520" i="1"/>
  <c r="D519" i="1"/>
  <c r="D631" i="1"/>
  <c r="D2075" i="1"/>
  <c r="D1507" i="1"/>
  <c r="D2656" i="1"/>
  <c r="D2427" i="1"/>
  <c r="D1733" i="1"/>
  <c r="D2625" i="1"/>
  <c r="D2727" i="1"/>
  <c r="D778" i="1"/>
  <c r="D1929" i="1"/>
  <c r="D41" i="1"/>
  <c r="D938" i="1"/>
  <c r="D2021" i="1"/>
  <c r="D2761" i="1"/>
  <c r="AA26" i="51"/>
  <c r="AK26" i="51" s="1"/>
  <c r="AP26" i="51" s="1"/>
  <c r="D1729" i="1"/>
  <c r="D1600" i="1"/>
  <c r="D1089" i="1"/>
  <c r="D2550" i="1"/>
  <c r="D1627" i="1"/>
  <c r="D931" i="1"/>
  <c r="D1091" i="1"/>
  <c r="D234" i="1"/>
  <c r="D2414" i="1"/>
  <c r="D671" i="1"/>
  <c r="D160" i="1"/>
  <c r="D723" i="1"/>
  <c r="D1717" i="1"/>
  <c r="D162" i="1"/>
  <c r="D1549" i="1"/>
  <c r="D1548" i="1"/>
  <c r="D1608" i="1"/>
  <c r="D2464" i="1"/>
  <c r="D2465" i="1"/>
  <c r="D1488" i="1"/>
  <c r="D1787" i="1"/>
  <c r="D442" i="1"/>
  <c r="D2344" i="1"/>
  <c r="D1354" i="1"/>
  <c r="D1353" i="1"/>
  <c r="D2178" i="1"/>
  <c r="D2240" i="1"/>
  <c r="D954" i="1"/>
  <c r="D953" i="1"/>
  <c r="D2306" i="1"/>
  <c r="D1684" i="1"/>
  <c r="D2767" i="1"/>
  <c r="D287" i="1"/>
  <c r="D2319" i="1"/>
  <c r="D1351" i="1"/>
  <c r="D2492" i="1"/>
  <c r="D2493" i="1"/>
  <c r="D2164" i="1"/>
  <c r="D2513" i="1"/>
  <c r="D243" i="1"/>
  <c r="D309" i="1"/>
  <c r="D481" i="1"/>
  <c r="D659" i="1"/>
  <c r="D329" i="1"/>
  <c r="D122" i="1"/>
  <c r="D123" i="1"/>
  <c r="D430" i="1"/>
  <c r="D2172" i="1"/>
  <c r="D425" i="1"/>
  <c r="D2116" i="1"/>
  <c r="D34" i="1"/>
  <c r="D1767" i="1"/>
  <c r="D2505" i="1"/>
  <c r="D666" i="1"/>
  <c r="D2477" i="1"/>
  <c r="D1773" i="1"/>
  <c r="D63" i="1"/>
  <c r="D388" i="1"/>
  <c r="D486" i="1"/>
  <c r="D1542" i="1"/>
  <c r="D2784" i="1"/>
  <c r="D1409" i="1"/>
  <c r="D2737" i="1"/>
  <c r="D2218" i="1"/>
  <c r="D544" i="1"/>
  <c r="D502" i="1"/>
  <c r="D503" i="1"/>
  <c r="D1976" i="1"/>
  <c r="D2880" i="1"/>
  <c r="D1576" i="1"/>
  <c r="D337" i="1"/>
  <c r="D1125" i="1"/>
  <c r="D268" i="1"/>
  <c r="D1308" i="1"/>
  <c r="D566" i="1"/>
  <c r="D2030" i="1"/>
  <c r="D360" i="1"/>
  <c r="D576" i="1"/>
  <c r="D577" i="1"/>
  <c r="D2908" i="1"/>
  <c r="D2907" i="1"/>
  <c r="D2127" i="1"/>
  <c r="D2410" i="1"/>
  <c r="D2174" i="1"/>
  <c r="D1799" i="1"/>
  <c r="D916" i="1"/>
  <c r="D1410" i="1"/>
  <c r="D1897" i="1"/>
  <c r="D1896" i="1"/>
  <c r="D2194" i="1"/>
  <c r="D172" i="1"/>
  <c r="D173" i="1"/>
  <c r="D2693" i="1"/>
  <c r="D909" i="1"/>
  <c r="D2157" i="1"/>
  <c r="D2296" i="1"/>
  <c r="D1904" i="1"/>
  <c r="D39" i="1"/>
  <c r="D1284" i="1"/>
  <c r="D2023" i="1"/>
  <c r="D2335" i="1"/>
  <c r="D2575" i="1"/>
  <c r="D1242" i="1"/>
  <c r="D739" i="1"/>
  <c r="D2665" i="1"/>
  <c r="D1054" i="1"/>
  <c r="D979" i="1"/>
  <c r="D1553" i="1"/>
  <c r="D1040" i="1"/>
  <c r="D787" i="1"/>
  <c r="D2519" i="1"/>
  <c r="D1990" i="1"/>
  <c r="D1706" i="1"/>
  <c r="D2594" i="1"/>
  <c r="D2115" i="1"/>
  <c r="D2274" i="1"/>
  <c r="D500" i="1"/>
  <c r="D662" i="1"/>
  <c r="D154" i="1"/>
  <c r="D155" i="1"/>
  <c r="D1925" i="1"/>
  <c r="D1998" i="1"/>
  <c r="D1999" i="1"/>
  <c r="D410" i="1"/>
  <c r="D2069" i="1"/>
  <c r="D1087" i="1"/>
  <c r="D536" i="1"/>
  <c r="D990" i="1"/>
  <c r="D991" i="1"/>
  <c r="D228" i="1"/>
  <c r="D120" i="1"/>
  <c r="D121" i="1"/>
  <c r="D411" i="1"/>
  <c r="D2812" i="1"/>
  <c r="D786" i="1"/>
  <c r="D639" i="1"/>
  <c r="D117" i="1"/>
  <c r="D601" i="1"/>
  <c r="D1889" i="1"/>
  <c r="D1888" i="1"/>
  <c r="D2555" i="1"/>
  <c r="D2019" i="1"/>
  <c r="D482" i="1"/>
  <c r="D2818" i="1"/>
  <c r="D614" i="1"/>
  <c r="D1147" i="1"/>
  <c r="D477" i="1"/>
  <c r="D1029" i="1"/>
  <c r="D569" i="1"/>
  <c r="D2922" i="1"/>
  <c r="D2100" i="1"/>
  <c r="D14" i="1"/>
  <c r="D1616" i="1"/>
  <c r="D1502" i="1"/>
  <c r="D2830" i="1"/>
  <c r="D2829" i="1"/>
  <c r="D127" i="1"/>
  <c r="D1591" i="1"/>
  <c r="D2312" i="1"/>
  <c r="D2800" i="1"/>
  <c r="D144" i="1"/>
  <c r="D840" i="1"/>
  <c r="D1693" i="1"/>
  <c r="D2367" i="1"/>
  <c r="D2368" i="1"/>
  <c r="D1724" i="1"/>
  <c r="D971" i="1"/>
  <c r="D2456" i="1"/>
  <c r="D87" i="1"/>
  <c r="D1105" i="1"/>
  <c r="D1307" i="1"/>
  <c r="D253" i="1"/>
  <c r="D137" i="1"/>
  <c r="D1157" i="1"/>
  <c r="D1940" i="1"/>
  <c r="D2215" i="1"/>
  <c r="D2797" i="1"/>
  <c r="D213" i="1"/>
  <c r="D212" i="1"/>
  <c r="D606" i="1"/>
  <c r="D1854" i="1"/>
  <c r="D1346" i="1"/>
  <c r="D2659" i="1"/>
  <c r="D1171" i="1"/>
  <c r="D368" i="1"/>
  <c r="D2531" i="1"/>
  <c r="D1247" i="1"/>
  <c r="D816" i="1"/>
  <c r="D2220" i="1"/>
  <c r="D413" i="1"/>
  <c r="AA29" i="51"/>
  <c r="AK29" i="51" s="1"/>
  <c r="AP29" i="51" s="1"/>
  <c r="F13" i="78" s="1"/>
  <c r="K13" i="78" s="1"/>
  <c r="Q13" i="78" s="1"/>
  <c r="D1678" i="1"/>
  <c r="D1079" i="1"/>
  <c r="D152" i="1"/>
  <c r="D2684" i="1"/>
  <c r="D725" i="1"/>
  <c r="D1250" i="1"/>
  <c r="D1413" i="1"/>
  <c r="D1675" i="1"/>
  <c r="D2966" i="1"/>
  <c r="D2996" i="1"/>
  <c r="D2541" i="1"/>
  <c r="D611" i="1"/>
  <c r="D295" i="1"/>
  <c r="D1673" i="1"/>
  <c r="D785" i="1"/>
  <c r="D1228" i="1"/>
  <c r="D2130" i="1"/>
  <c r="D2406" i="1"/>
  <c r="D1737" i="1"/>
  <c r="D1738" i="1"/>
  <c r="D476" i="1"/>
  <c r="D555" i="1"/>
  <c r="D833" i="1"/>
  <c r="D2171" i="1"/>
  <c r="D336" i="1"/>
  <c r="D1830" i="1"/>
  <c r="D1829" i="1"/>
  <c r="D2640" i="1"/>
  <c r="D2639" i="1"/>
  <c r="D2783" i="1"/>
  <c r="D1612" i="1"/>
  <c r="D2124" i="1"/>
  <c r="D2636" i="1"/>
  <c r="D2635" i="1"/>
  <c r="D2950" i="1"/>
  <c r="D2118" i="1"/>
  <c r="D1472" i="1"/>
  <c r="D2956" i="1"/>
  <c r="D2320" i="1"/>
  <c r="D1578" i="1"/>
  <c r="D1579" i="1"/>
  <c r="D2442" i="1"/>
  <c r="D2248" i="1"/>
  <c r="D2277" i="1"/>
  <c r="D1649" i="1"/>
  <c r="D2122" i="1"/>
  <c r="D2036" i="1"/>
  <c r="D2037" i="1"/>
  <c r="D151" i="1"/>
  <c r="D1941" i="1"/>
  <c r="D1942" i="1"/>
  <c r="D1681" i="1"/>
  <c r="D1700" i="1"/>
  <c r="D1699" i="1"/>
  <c r="D2314" i="1"/>
  <c r="D949" i="1"/>
  <c r="D948" i="1"/>
  <c r="D2542" i="1"/>
  <c r="D2543" i="1"/>
  <c r="D958" i="1"/>
  <c r="D512" i="1"/>
  <c r="D1785" i="1"/>
  <c r="D2525" i="1"/>
  <c r="D1596" i="1"/>
  <c r="D1513" i="1"/>
  <c r="D1225" i="1"/>
  <c r="D1226" i="1"/>
  <c r="D2451" i="1"/>
  <c r="D1760" i="1"/>
  <c r="D1761" i="1"/>
  <c r="D561" i="1"/>
  <c r="D2051" i="1"/>
  <c r="D1996" i="1"/>
  <c r="D2792" i="1"/>
  <c r="D2793" i="1"/>
  <c r="D404" i="1"/>
  <c r="D792" i="1"/>
  <c r="D2092" i="1"/>
  <c r="D966" i="1"/>
  <c r="D2991" i="1"/>
  <c r="D2992" i="1"/>
  <c r="D610" i="1"/>
  <c r="D1175" i="1"/>
  <c r="D31" i="1"/>
  <c r="D2503" i="1"/>
  <c r="D799" i="1"/>
  <c r="D1520" i="1"/>
  <c r="D1735" i="1"/>
  <c r="D1730" i="1"/>
  <c r="D232" i="1"/>
  <c r="D1107" i="1"/>
  <c r="D431" i="1"/>
  <c r="D15" i="1"/>
  <c r="D1908" i="1"/>
  <c r="D1839" i="1"/>
  <c r="D904" i="1"/>
  <c r="D634" i="1"/>
  <c r="D2190" i="1"/>
  <c r="D1597" i="1"/>
  <c r="D2739" i="1"/>
  <c r="D894" i="1"/>
  <c r="D947" i="1"/>
  <c r="D254" i="1"/>
  <c r="D332" i="1"/>
  <c r="D283" i="1"/>
  <c r="D1504" i="1"/>
  <c r="D1261" i="1"/>
  <c r="D2629" i="1"/>
  <c r="D2223" i="1"/>
  <c r="D2016" i="1"/>
  <c r="D554" i="1"/>
  <c r="D1462" i="1"/>
  <c r="D1080" i="1"/>
  <c r="D843" i="1"/>
  <c r="D597" i="1"/>
  <c r="D559" i="1"/>
  <c r="D667" i="1"/>
  <c r="D2633" i="1"/>
  <c r="D801" i="1"/>
  <c r="D1668" i="1"/>
  <c r="D451" i="1"/>
  <c r="D779" i="1"/>
  <c r="D1589" i="1"/>
  <c r="D720" i="1"/>
  <c r="D594" i="1"/>
  <c r="D1179" i="1"/>
  <c r="D272" i="1"/>
  <c r="D1702" i="1"/>
  <c r="D2903" i="1"/>
  <c r="D1788" i="1"/>
  <c r="D1852" i="1"/>
  <c r="D2926" i="1"/>
  <c r="D1452" i="1"/>
  <c r="D1593" i="1"/>
  <c r="D2067" i="1"/>
  <c r="D1652" i="1"/>
  <c r="D2728" i="1"/>
  <c r="D370" i="1"/>
  <c r="D2365" i="1"/>
  <c r="D1342" i="1"/>
  <c r="D330" i="1"/>
  <c r="D537" i="1"/>
  <c r="D1967" i="1"/>
  <c r="D681" i="1"/>
  <c r="D2787" i="1"/>
  <c r="D2982" i="1"/>
  <c r="D1486" i="1"/>
  <c r="D139" i="1"/>
  <c r="D2930" i="1"/>
  <c r="D1694" i="1"/>
  <c r="D1296" i="1"/>
  <c r="D29" i="1"/>
  <c r="D2523" i="1"/>
  <c r="D889" i="1"/>
  <c r="D1482" i="1"/>
  <c r="D101" i="1"/>
  <c r="D94" i="1"/>
  <c r="D2020" i="1"/>
  <c r="D2978" i="1"/>
  <c r="D1901" i="1"/>
  <c r="D2166" i="1"/>
  <c r="D484" i="1"/>
  <c r="D2785" i="1"/>
  <c r="D2971" i="1"/>
  <c r="D2603" i="1"/>
  <c r="D2053" i="1"/>
  <c r="D293" i="1"/>
  <c r="D2033" i="1"/>
  <c r="D1323" i="1"/>
  <c r="D2212" i="1"/>
  <c r="D2225" i="1"/>
  <c r="D2958" i="1"/>
  <c r="D2136" i="1"/>
  <c r="D1301" i="1"/>
  <c r="D340" i="1"/>
  <c r="D728" i="1"/>
  <c r="D1816" i="1"/>
  <c r="D1381" i="1"/>
  <c r="D869" i="1"/>
  <c r="D1685" i="1"/>
  <c r="D865" i="1"/>
  <c r="D2210" i="1"/>
  <c r="D2325" i="1"/>
  <c r="D1172" i="1"/>
  <c r="D2551" i="1"/>
  <c r="D2353" i="1"/>
  <c r="D384" i="1"/>
  <c r="D1572" i="1"/>
  <c r="D848" i="1"/>
  <c r="D2621" i="1"/>
  <c r="D2834" i="1"/>
  <c r="D85" i="1"/>
  <c r="D2758" i="1"/>
  <c r="D148" i="1"/>
  <c r="D1360" i="1"/>
  <c r="D2261" i="1"/>
  <c r="D2723" i="1"/>
  <c r="D1983" i="1"/>
  <c r="D393" i="1"/>
  <c r="D1414" i="1"/>
  <c r="D2196" i="1"/>
  <c r="D132" i="1"/>
  <c r="D1568" i="1"/>
  <c r="D2401" i="1"/>
  <c r="D1732" i="1"/>
  <c r="D301" i="1"/>
  <c r="D454" i="1"/>
  <c r="D1918" i="1"/>
  <c r="D1223" i="1"/>
  <c r="D1218" i="1"/>
  <c r="D1774" i="1"/>
  <c r="D450" i="1"/>
  <c r="D32" i="1"/>
  <c r="D910" i="1"/>
  <c r="D2731" i="1"/>
  <c r="D1961" i="1"/>
  <c r="D704" i="1"/>
  <c r="D1481" i="1"/>
  <c r="D1200" i="1"/>
  <c r="D223" i="1"/>
  <c r="D1847" i="1"/>
  <c r="D1393" i="1"/>
  <c r="D2566" i="1"/>
  <c r="D1566" i="1"/>
  <c r="D511" i="1"/>
  <c r="D1270" i="1"/>
  <c r="D2181" i="1"/>
  <c r="D2043" i="1"/>
  <c r="D1195" i="1"/>
  <c r="D1582" i="1"/>
  <c r="D1476" i="1"/>
  <c r="D385" i="1"/>
  <c r="D808" i="1"/>
  <c r="D1725" i="1"/>
  <c r="D2074" i="1"/>
  <c r="D2570" i="1"/>
  <c r="D440" i="1"/>
  <c r="D1777" i="1"/>
  <c r="D2186" i="1"/>
  <c r="D2219" i="1"/>
  <c r="D2690" i="1"/>
  <c r="D1293" i="1"/>
  <c r="D1256" i="1"/>
  <c r="D2598" i="1"/>
  <c r="D2976" i="1"/>
  <c r="D1791" i="1"/>
  <c r="D2989" i="1"/>
  <c r="D2242" i="1"/>
  <c r="D1028" i="1"/>
  <c r="D2775" i="1"/>
  <c r="D942" i="1"/>
  <c r="D465" i="1"/>
  <c r="D2050" i="1"/>
  <c r="D2029" i="1"/>
  <c r="D240" i="1"/>
  <c r="D1310" i="1"/>
  <c r="D873" i="1"/>
  <c r="D2700" i="1"/>
  <c r="D901" i="1"/>
  <c r="D1118" i="1"/>
  <c r="D618" i="1"/>
  <c r="D857" i="1"/>
  <c r="D1806" i="1"/>
  <c r="D416" i="1"/>
  <c r="D2948" i="1"/>
  <c r="D326" i="1"/>
  <c r="D1562" i="1"/>
  <c r="D1850" i="1"/>
  <c r="D2589" i="1"/>
  <c r="D1443" i="1"/>
  <c r="D2264" i="1"/>
  <c r="D1986" i="1"/>
  <c r="D934" i="1"/>
  <c r="D128" i="1"/>
  <c r="D158" i="1"/>
  <c r="D2752" i="1"/>
  <c r="D1046" i="1"/>
  <c r="D1691" i="1"/>
  <c r="D2528" i="1"/>
  <c r="D1274" i="1"/>
  <c r="D145" i="1"/>
  <c r="D1139" i="1"/>
  <c r="D517" i="1"/>
  <c r="D1714" i="1"/>
  <c r="D1064" i="1"/>
  <c r="D1664" i="1"/>
  <c r="D2386" i="1"/>
  <c r="D1899" i="1"/>
  <c r="D2380" i="1"/>
  <c r="D2686" i="1"/>
  <c r="D1933" i="1"/>
  <c r="D53" i="1"/>
  <c r="D2534" i="1"/>
  <c r="D1313" i="1"/>
  <c r="D1613" i="1"/>
  <c r="D1001" i="1"/>
  <c r="D2938" i="1"/>
  <c r="D1073" i="1"/>
  <c r="D673" i="1"/>
  <c r="D64" i="1"/>
  <c r="D352" i="1"/>
  <c r="D1283" i="1"/>
  <c r="AH24" i="51"/>
  <c r="AC24" i="51"/>
  <c r="AM24" i="51" s="1"/>
  <c r="D2804" i="1"/>
  <c r="D2805" i="1"/>
  <c r="D708" i="1"/>
  <c r="D709" i="1"/>
  <c r="D1197" i="1"/>
  <c r="D1196" i="1"/>
  <c r="D2859" i="1"/>
  <c r="D2860" i="1"/>
  <c r="D1330" i="1"/>
  <c r="D1331" i="1"/>
  <c r="D907" i="1"/>
  <c r="D906" i="1"/>
  <c r="D2288" i="1"/>
  <c r="D2287" i="1"/>
  <c r="D2762" i="1"/>
  <c r="D2763" i="1"/>
  <c r="D1220" i="1"/>
  <c r="D1219" i="1"/>
  <c r="D1647" i="1"/>
  <c r="D1648" i="1"/>
  <c r="D438" i="1"/>
  <c r="D437" i="1"/>
  <c r="D2619" i="1"/>
  <c r="D2618" i="1"/>
  <c r="D1707" i="1"/>
  <c r="D1708" i="1"/>
  <c r="D1772" i="1"/>
  <c r="D1771" i="1"/>
  <c r="D854" i="1"/>
  <c r="AE34" i="51"/>
  <c r="Z34" i="51"/>
  <c r="AJ34" i="51" s="1"/>
  <c r="D383" i="1"/>
  <c r="D2392" i="1"/>
  <c r="D1415" i="1"/>
  <c r="D2324" i="1"/>
  <c r="D2352" i="1"/>
  <c r="D2436" i="1"/>
  <c r="D2437" i="1"/>
  <c r="D884" i="1"/>
  <c r="D883" i="1"/>
  <c r="D897" i="1"/>
  <c r="D898" i="1"/>
  <c r="D1026" i="1"/>
  <c r="D1027" i="1"/>
  <c r="D993" i="1"/>
  <c r="D994" i="1"/>
  <c r="D2894" i="1"/>
  <c r="D2893" i="1"/>
  <c r="D970" i="1"/>
  <c r="D969" i="1"/>
  <c r="D2378" i="1"/>
  <c r="D2379" i="1"/>
  <c r="D1564" i="1"/>
  <c r="D1565" i="1"/>
  <c r="D3005" i="1"/>
  <c r="D3004" i="1"/>
  <c r="D1775" i="1"/>
  <c r="D1883" i="1"/>
  <c r="D1884" i="1"/>
  <c r="D2642" i="1"/>
  <c r="D2643" i="1"/>
  <c r="D2892" i="1"/>
  <c r="D2891" i="1"/>
  <c r="D702" i="1"/>
  <c r="D558" i="1"/>
  <c r="D557" i="1"/>
  <c r="D2644" i="1"/>
  <c r="D1173" i="1"/>
  <c r="D449" i="1"/>
  <c r="D426" i="1"/>
  <c r="D2209" i="1"/>
  <c r="D2045" i="1"/>
  <c r="D1302" i="1"/>
  <c r="D2694" i="1"/>
  <c r="D2825" i="1"/>
  <c r="D1403" i="1"/>
  <c r="D2205" i="1"/>
  <c r="D224" i="1"/>
  <c r="D2008" i="1"/>
  <c r="D2899" i="1"/>
  <c r="D1776" i="1"/>
  <c r="D981" i="1"/>
  <c r="D221" i="1"/>
  <c r="D2347" i="1"/>
  <c r="D1525" i="1"/>
  <c r="D2506" i="1"/>
  <c r="D2507" i="1"/>
  <c r="D1230" i="1"/>
  <c r="D1382" i="1"/>
  <c r="D2632" i="1"/>
  <c r="D2089" i="1"/>
  <c r="D1222" i="1"/>
  <c r="D2757" i="1"/>
  <c r="D641" i="1"/>
  <c r="D2925" i="1"/>
  <c r="D2496" i="1"/>
  <c r="D2630" i="1"/>
  <c r="D114" i="1"/>
  <c r="D1756" i="1"/>
  <c r="D1891" i="1"/>
  <c r="D273" i="1"/>
  <c r="D751" i="1"/>
  <c r="D750" i="1"/>
  <c r="D2270" i="1"/>
  <c r="D2271" i="1"/>
  <c r="D2733" i="1"/>
  <c r="D2732" i="1"/>
  <c r="D2268" i="1"/>
  <c r="D2269" i="1"/>
  <c r="D1987" i="1"/>
  <c r="D1988" i="1"/>
  <c r="D270" i="1"/>
  <c r="D271" i="1"/>
  <c r="D2159" i="1"/>
  <c r="D2158" i="1"/>
  <c r="D69" i="1"/>
  <c r="D70" i="1"/>
  <c r="D2422" i="1"/>
  <c r="D2423" i="1"/>
  <c r="D2769" i="1"/>
  <c r="D2768" i="1"/>
  <c r="D1306" i="1"/>
  <c r="D1305" i="1"/>
  <c r="D2217" i="1"/>
  <c r="D2216" i="1"/>
  <c r="D371" i="1"/>
  <c r="D372" i="1"/>
  <c r="D1842" i="1"/>
  <c r="D1841" i="1"/>
  <c r="D2229" i="1"/>
  <c r="D2230" i="1"/>
  <c r="D868" i="1"/>
  <c r="D2677" i="1"/>
  <c r="D1085" i="1"/>
  <c r="D2182" i="1"/>
  <c r="D1379" i="1"/>
  <c r="D187" i="1"/>
  <c r="D188" i="1"/>
  <c r="D1123" i="1"/>
  <c r="D2362" i="1"/>
  <c r="D2361" i="1"/>
  <c r="D2072" i="1"/>
  <c r="D1060" i="1"/>
  <c r="D1061" i="1"/>
  <c r="D2252" i="1"/>
  <c r="D2253" i="1"/>
  <c r="D996" i="1"/>
  <c r="D995" i="1"/>
  <c r="D2398" i="1"/>
  <c r="D2399" i="1"/>
  <c r="D535" i="1"/>
  <c r="D534" i="1"/>
  <c r="D2828" i="1"/>
  <c r="D2827" i="1"/>
  <c r="D2985" i="1"/>
  <c r="D2986" i="1"/>
  <c r="D497" i="1"/>
  <c r="D496" i="1"/>
  <c r="D1625" i="1"/>
  <c r="D1624" i="1"/>
  <c r="D379" i="1"/>
  <c r="D1759" i="1"/>
  <c r="D1134" i="1"/>
  <c r="D367" i="1"/>
  <c r="D1394" i="1"/>
  <c r="D2260" i="1"/>
  <c r="D2831" i="1"/>
  <c r="D191" i="1"/>
  <c r="D1567" i="1"/>
  <c r="D1042" i="1"/>
  <c r="D2195" i="1"/>
  <c r="D1201" i="1"/>
  <c r="D824" i="1"/>
  <c r="D179" i="1"/>
  <c r="D758" i="1"/>
  <c r="D96" i="1"/>
  <c r="D2688" i="1"/>
  <c r="D1203" i="1"/>
  <c r="D1067" i="1"/>
  <c r="AB20" i="51"/>
  <c r="AL20" i="51" s="1"/>
  <c r="AQ20" i="51" s="1"/>
  <c r="D2073" i="1"/>
  <c r="D408" i="1"/>
  <c r="D936" i="1"/>
  <c r="D1573" i="1"/>
  <c r="AB33" i="51"/>
  <c r="AL33" i="51" s="1"/>
  <c r="AQ33" i="51" s="1"/>
  <c r="D1686" i="1"/>
  <c r="D1327" i="1"/>
  <c r="D1326" i="1"/>
  <c r="D2524" i="1"/>
  <c r="D56" i="1"/>
  <c r="D57" i="1"/>
  <c r="D422" i="1"/>
  <c r="D423" i="1"/>
  <c r="D686" i="1"/>
  <c r="D685" i="1"/>
  <c r="D277" i="1"/>
  <c r="D278" i="1"/>
  <c r="D2315" i="1"/>
  <c r="D2316" i="1"/>
  <c r="D1208" i="1"/>
  <c r="D1209" i="1"/>
  <c r="D2078" i="1"/>
  <c r="D2077" i="1"/>
  <c r="D394" i="1"/>
  <c r="D2014" i="1"/>
  <c r="D2015" i="1"/>
  <c r="D1269" i="1"/>
  <c r="V20" i="51"/>
  <c r="AF20" i="51" s="1"/>
  <c r="D176" i="1"/>
  <c r="D2651" i="1"/>
  <c r="D1731" i="1"/>
  <c r="D1868" i="1"/>
  <c r="D2650" i="1"/>
  <c r="D2649" i="1"/>
  <c r="D2821" i="1"/>
  <c r="D2822" i="1"/>
  <c r="D1978" i="1"/>
  <c r="D1979" i="1"/>
  <c r="D78" i="1"/>
  <c r="D79" i="1"/>
  <c r="D323" i="1"/>
  <c r="D324" i="1"/>
  <c r="D2844" i="1"/>
  <c r="D2843" i="1"/>
  <c r="D1115" i="1"/>
  <c r="D1116" i="1"/>
  <c r="D470" i="1"/>
  <c r="D471" i="1"/>
  <c r="D2941" i="1"/>
  <c r="D2942" i="1"/>
  <c r="D1779" i="1"/>
  <c r="D1374" i="1"/>
  <c r="D1375" i="1"/>
  <c r="D2120" i="1"/>
  <c r="D2121" i="1"/>
  <c r="D1947" i="1"/>
  <c r="D1946" i="1"/>
  <c r="D2490" i="1"/>
  <c r="D2489" i="1"/>
  <c r="D1359" i="1"/>
  <c r="D2322" i="1"/>
  <c r="D1636" i="1"/>
  <c r="D1558" i="1"/>
  <c r="D2707" i="1"/>
  <c r="D695" i="1"/>
  <c r="D2711" i="1"/>
  <c r="D1450" i="1"/>
  <c r="D545" i="1"/>
  <c r="D1461" i="1"/>
  <c r="D2974" i="1"/>
  <c r="D774" i="1"/>
  <c r="D775" i="1"/>
  <c r="D297" i="1"/>
  <c r="D2404" i="1"/>
  <c r="D2403" i="1"/>
  <c r="D2255" i="1"/>
  <c r="D2254" i="1"/>
  <c r="D1240" i="1"/>
  <c r="D1241" i="1"/>
  <c r="D2500" i="1"/>
  <c r="D2501" i="1"/>
  <c r="D2552" i="1"/>
  <c r="D2234" i="1"/>
  <c r="D2233" i="1"/>
  <c r="D814" i="1"/>
  <c r="D813" i="1"/>
  <c r="D1903" i="1"/>
  <c r="D1902" i="1"/>
  <c r="D1391" i="1"/>
  <c r="D1392" i="1"/>
  <c r="D917" i="1"/>
  <c r="D918" i="1"/>
  <c r="D59" i="1"/>
  <c r="D58" i="1"/>
  <c r="D26" i="1"/>
  <c r="D27" i="1"/>
  <c r="D493" i="1"/>
  <c r="D461" i="1"/>
  <c r="D460" i="1"/>
  <c r="D738" i="1"/>
  <c r="D737" i="1"/>
  <c r="D1569" i="1"/>
  <c r="D509" i="1"/>
  <c r="D508" i="1"/>
  <c r="D256" i="1"/>
  <c r="D255" i="1"/>
  <c r="D1814" i="1"/>
  <c r="D1815" i="1"/>
  <c r="D574" i="1"/>
  <c r="D575" i="1"/>
  <c r="D572" i="1"/>
  <c r="D571" i="1"/>
  <c r="D110" i="1"/>
  <c r="D705" i="1"/>
  <c r="D712" i="1"/>
  <c r="D711" i="1"/>
  <c r="D879" i="1"/>
  <c r="D2396" i="1"/>
  <c r="D2397" i="1"/>
  <c r="D1869" i="1"/>
  <c r="D1870" i="1"/>
  <c r="D1655" i="1"/>
  <c r="D1656" i="1"/>
  <c r="D2959" i="1"/>
  <c r="D2742" i="1"/>
  <c r="D421" i="1"/>
  <c r="D163" i="1"/>
  <c r="D1212" i="1"/>
  <c r="D1025" i="1"/>
  <c r="D627" i="1"/>
  <c r="D1640" i="1"/>
  <c r="D754" i="1"/>
  <c r="D2815" i="1"/>
  <c r="D1419" i="1"/>
  <c r="D1855" i="1"/>
  <c r="D1859" i="1"/>
  <c r="D1858" i="1"/>
  <c r="D679" i="1"/>
  <c r="D678" i="1"/>
  <c r="D1008" i="1"/>
  <c r="D1009" i="1"/>
  <c r="D1006" i="1"/>
  <c r="D1007" i="1"/>
  <c r="D2672" i="1"/>
  <c r="D2671" i="1"/>
  <c r="D2695" i="1"/>
  <c r="D2696" i="1"/>
  <c r="D2426" i="1"/>
  <c r="D2425" i="1"/>
  <c r="D2193" i="1"/>
  <c r="D1266" i="1"/>
  <c r="D1267" i="1"/>
  <c r="D302" i="1"/>
  <c r="D1207" i="1"/>
  <c r="D1206" i="1"/>
  <c r="D1711" i="1"/>
  <c r="D1712" i="1"/>
  <c r="D341" i="1"/>
  <c r="D2047" i="1"/>
  <c r="D455" i="1"/>
  <c r="D456" i="1"/>
  <c r="D2107" i="1"/>
  <c r="D2108" i="1"/>
  <c r="D2824" i="1"/>
  <c r="D2823" i="1"/>
  <c r="D1645" i="1"/>
  <c r="D2153" i="1"/>
  <c r="D729" i="1"/>
  <c r="D2801" i="1"/>
  <c r="D2802" i="1"/>
  <c r="D2614" i="1"/>
  <c r="D2613" i="1"/>
  <c r="D654" i="1"/>
  <c r="D653" i="1"/>
  <c r="D2145" i="1"/>
  <c r="D2144" i="1"/>
  <c r="D2663" i="1"/>
  <c r="D2664" i="1"/>
  <c r="D1956" i="1"/>
  <c r="D1955" i="1"/>
  <c r="D1919" i="1"/>
  <c r="D2112" i="1"/>
  <c r="D1021" i="1"/>
  <c r="D1020" i="1"/>
  <c r="D2874" i="1"/>
  <c r="D147" i="1"/>
  <c r="D2010" i="1"/>
  <c r="D2009" i="1"/>
  <c r="D849" i="1"/>
  <c r="D247" i="1"/>
  <c r="D564" i="1"/>
  <c r="D563" i="1"/>
  <c r="D2402" i="1"/>
  <c r="D1658" i="1"/>
  <c r="D1657" i="1"/>
  <c r="D922" i="1"/>
  <c r="D923" i="1"/>
  <c r="D1537" i="1"/>
  <c r="D1124" i="1"/>
  <c r="D1431" i="1"/>
  <c r="D1430" i="1"/>
  <c r="D1959" i="1"/>
  <c r="D1960" i="1"/>
  <c r="D2945" i="1"/>
  <c r="D2946" i="1"/>
  <c r="D748" i="1"/>
  <c r="D749" i="1"/>
  <c r="D1535" i="1"/>
  <c r="D1819" i="1"/>
  <c r="D1818" i="1"/>
  <c r="D847" i="1"/>
  <c r="D846" i="1"/>
  <c r="D2660" i="1"/>
  <c r="D1100" i="1"/>
  <c r="D1769" i="1"/>
  <c r="D2139" i="1"/>
  <c r="D1290" i="1"/>
  <c r="D876" i="1"/>
  <c r="AA32" i="51"/>
  <c r="AK32" i="51" s="1"/>
  <c r="AP32" i="51" s="1"/>
  <c r="D2622" i="1"/>
  <c r="D1962" i="1"/>
  <c r="D1110" i="1"/>
  <c r="D2567" i="1"/>
  <c r="D1754" i="1"/>
  <c r="Y20" i="51"/>
  <c r="AI20" i="51" s="1"/>
  <c r="AN20" i="51" s="1"/>
  <c r="Y26" i="51"/>
  <c r="AI26" i="51" s="1"/>
  <c r="AN26" i="51" s="1"/>
  <c r="Z21" i="51"/>
  <c r="AJ21" i="51" s="1"/>
  <c r="AO21" i="51" s="1"/>
  <c r="D2328" i="1"/>
  <c r="D703" i="1"/>
  <c r="D1086" i="1"/>
  <c r="D2864" i="1"/>
  <c r="D692" i="1"/>
  <c r="D2317" i="1"/>
  <c r="D532" i="1"/>
  <c r="D988" i="1"/>
  <c r="D2440" i="1"/>
  <c r="D319" i="1"/>
  <c r="D2097" i="1"/>
  <c r="D2154" i="1"/>
  <c r="D1350" i="1"/>
  <c r="D2722" i="1"/>
  <c r="D871" i="1"/>
  <c r="D2027" i="1"/>
  <c r="D1972" i="1"/>
  <c r="AC21" i="51"/>
  <c r="AM21" i="51" s="1"/>
  <c r="AR21" i="51" s="1"/>
  <c r="AB24" i="51"/>
  <c r="AL24" i="51" s="1"/>
  <c r="AQ24" i="51" s="1"/>
  <c r="D635" i="1"/>
  <c r="D925" i="1"/>
  <c r="D2349" i="1"/>
  <c r="D946" i="1"/>
  <c r="D2366" i="1"/>
  <c r="D1949" i="1"/>
  <c r="D1427" i="1"/>
  <c r="D197" i="1"/>
  <c r="AC23" i="51"/>
  <c r="AM23" i="51" s="1"/>
  <c r="AR23" i="51" s="1"/>
  <c r="D1651" i="1"/>
  <c r="D443" i="1"/>
  <c r="D2017" i="1"/>
  <c r="D194" i="1"/>
  <c r="D2447" i="1"/>
  <c r="D1590" i="1"/>
  <c r="D1503" i="1"/>
  <c r="D1765" i="1"/>
  <c r="D1766" i="1"/>
  <c r="D92" i="1"/>
  <c r="D93" i="1"/>
  <c r="D642" i="1"/>
  <c r="D643" i="1"/>
  <c r="D539" i="1"/>
  <c r="D540" i="1"/>
  <c r="D1878" i="1"/>
  <c r="D1879" i="1"/>
  <c r="D2875" i="1"/>
  <c r="D978" i="1"/>
  <c r="D2412" i="1"/>
  <c r="D2413" i="1"/>
  <c r="D89" i="1"/>
  <c r="D90" i="1"/>
  <c r="D289" i="1"/>
  <c r="D290" i="1"/>
  <c r="D2669" i="1"/>
  <c r="D2298" i="1"/>
  <c r="D2299" i="1"/>
  <c r="D2995" i="1"/>
  <c r="D549" i="1"/>
  <c r="D380" i="1"/>
  <c r="D381" i="1"/>
  <c r="D1436" i="1"/>
  <c r="D1437" i="1"/>
  <c r="D2610" i="1"/>
  <c r="D2611" i="1"/>
  <c r="D1533" i="1"/>
  <c r="D453" i="1"/>
  <c r="D1622" i="1"/>
  <c r="D1623" i="1"/>
  <c r="D2103" i="1"/>
  <c r="D1038" i="1"/>
  <c r="D664" i="1"/>
  <c r="D663" i="1"/>
  <c r="D1873" i="1"/>
  <c r="D1464" i="1"/>
  <c r="D1909" i="1"/>
  <c r="D2068" i="1"/>
  <c r="D1387" i="1"/>
  <c r="D181" i="1"/>
  <c r="D1856" i="1"/>
  <c r="D1920" i="1"/>
  <c r="T29" i="51"/>
  <c r="AD29" i="51" s="1"/>
  <c r="D780" i="1"/>
  <c r="D2408" i="1"/>
  <c r="D2409" i="1"/>
  <c r="D2600" i="1"/>
  <c r="D1495" i="1"/>
  <c r="D553" i="1"/>
  <c r="D1180" i="1"/>
  <c r="D1487" i="1"/>
  <c r="D2981" i="1"/>
  <c r="D2471" i="1"/>
  <c r="D2674" i="1"/>
  <c r="D1874" i="1"/>
  <c r="Z32" i="51"/>
  <c r="AJ32" i="51" s="1"/>
  <c r="AO32" i="51" s="1"/>
  <c r="AC29" i="51"/>
  <c r="AM29" i="51" s="1"/>
  <c r="AR29" i="51" s="1"/>
  <c r="H13" i="78" s="1"/>
  <c r="M13" i="78" s="1"/>
  <c r="S13" i="78" s="1"/>
  <c r="AC32" i="51"/>
  <c r="AM32" i="51" s="1"/>
  <c r="AR32" i="51" s="1"/>
  <c r="D2332" i="1"/>
  <c r="D317" i="1"/>
  <c r="D1822" i="1"/>
  <c r="D1297" i="1"/>
  <c r="D1630" i="1"/>
  <c r="D2837" i="1"/>
  <c r="D2838" i="1"/>
  <c r="D2515" i="1"/>
  <c r="D2516" i="1"/>
  <c r="D997" i="1"/>
  <c r="D998" i="1"/>
  <c r="D604" i="1"/>
  <c r="D605" i="1"/>
  <c r="D452" i="1"/>
  <c r="D1912" i="1"/>
  <c r="D2917" i="1"/>
  <c r="D2918" i="1"/>
  <c r="D2601" i="1"/>
  <c r="D2602" i="1"/>
  <c r="D1670" i="1"/>
  <c r="D2292" i="1"/>
  <c r="D2293" i="1"/>
  <c r="D1853" i="1"/>
  <c r="D1517" i="1"/>
  <c r="D1518" i="1"/>
  <c r="D1319" i="1"/>
  <c r="D276" i="1"/>
  <c r="D1789" i="1"/>
  <c r="D1015" i="1"/>
  <c r="D2086" i="1"/>
  <c r="D2678" i="1"/>
  <c r="D2679" i="1"/>
  <c r="D2197" i="1"/>
  <c r="D2198" i="1"/>
  <c r="D140" i="1"/>
  <c r="D263" i="1"/>
  <c r="D1661" i="1"/>
  <c r="D1662" i="1"/>
  <c r="D2055" i="1"/>
  <c r="D2056" i="1"/>
  <c r="D651" i="1"/>
  <c r="D652" i="1"/>
  <c r="D235" i="1"/>
  <c r="D236" i="1"/>
  <c r="D2780" i="1"/>
  <c r="D2781" i="1"/>
  <c r="D133" i="1"/>
  <c r="D134" i="1"/>
  <c r="D2280" i="1"/>
  <c r="D2281" i="1"/>
  <c r="D2161" i="1"/>
  <c r="D2162" i="1"/>
  <c r="D2960" i="1"/>
  <c r="D1671" i="1"/>
  <c r="D1185" i="1"/>
  <c r="D2855" i="1"/>
  <c r="D1189" i="1"/>
  <c r="D2246" i="1"/>
  <c r="D102" i="1"/>
  <c r="D2724" i="1"/>
  <c r="D2725" i="1"/>
  <c r="D2904" i="1"/>
  <c r="D2905" i="1"/>
  <c r="D18" i="1"/>
  <c r="D17" i="1"/>
  <c r="D1585" i="1"/>
  <c r="D1586" i="1"/>
  <c r="D463" i="1"/>
  <c r="D464" i="1"/>
  <c r="D523" i="1"/>
  <c r="D524" i="1"/>
  <c r="D105" i="1"/>
  <c r="D106" i="1"/>
  <c r="D1669" i="1"/>
  <c r="D446" i="1"/>
  <c r="D447" i="1"/>
  <c r="D2740" i="1"/>
  <c r="D514" i="1"/>
  <c r="D515" i="1"/>
  <c r="D1466" i="1"/>
  <c r="D1467" i="1"/>
  <c r="D16" i="1"/>
  <c r="D1795" i="1"/>
  <c r="D588" i="1"/>
  <c r="D30" i="1"/>
  <c r="D1571" i="1"/>
  <c r="D719" i="1"/>
  <c r="D842" i="1"/>
  <c r="D24" i="1"/>
  <c r="D1237" i="1"/>
  <c r="D2184" i="1"/>
  <c r="D863" i="1"/>
  <c r="D84" i="1"/>
  <c r="D1718" i="1"/>
  <c r="D2560" i="1"/>
  <c r="D2239" i="1"/>
  <c r="D850" i="1"/>
  <c r="D2931" i="1"/>
  <c r="D218" i="1"/>
  <c r="D2224" i="1"/>
  <c r="D111" i="1"/>
  <c r="D419" i="1"/>
  <c r="D1343" i="1"/>
  <c r="D1798" i="1"/>
  <c r="AD33" i="51"/>
  <c r="Y33" i="51"/>
  <c r="AI33" i="51" s="1"/>
  <c r="D972" i="1"/>
  <c r="D973" i="1"/>
  <c r="D1423" i="1"/>
  <c r="D1422" i="1"/>
  <c r="D2191" i="1"/>
  <c r="AA21" i="51"/>
  <c r="AK21" i="51" s="1"/>
  <c r="AP21" i="51" s="1"/>
  <c r="AC20" i="51"/>
  <c r="AM20" i="51" s="1"/>
  <c r="AR20" i="51" s="1"/>
  <c r="D706" i="1"/>
  <c r="D494" i="1"/>
  <c r="Z29" i="51"/>
  <c r="AJ29" i="51" s="1"/>
  <c r="AO29" i="51" s="1"/>
  <c r="E13" i="37" s="1"/>
  <c r="J13" i="37" s="1"/>
  <c r="P13" i="37" s="1"/>
  <c r="D1081" i="1"/>
  <c r="D2729" i="1"/>
  <c r="D2453" i="1"/>
  <c r="D1384" i="1"/>
  <c r="D2301" i="1"/>
  <c r="D2300" i="1"/>
  <c r="C10" i="1"/>
  <c r="D10" i="1" s="1"/>
  <c r="B3007" i="1"/>
  <c r="D956" i="1"/>
  <c r="D957" i="1"/>
  <c r="D595" i="1"/>
  <c r="D888" i="1"/>
  <c r="D1152" i="1"/>
  <c r="D1153" i="1"/>
  <c r="D821" i="1"/>
  <c r="D822" i="1"/>
  <c r="D2001" i="1"/>
  <c r="D2002" i="1"/>
  <c r="D1751" i="1"/>
  <c r="D1752" i="1"/>
  <c r="D592" i="1"/>
  <c r="D593" i="1"/>
  <c r="D1204" i="1"/>
  <c r="D2345" i="1"/>
  <c r="D2346" i="1"/>
  <c r="D693" i="1"/>
  <c r="D2911" i="1"/>
  <c r="D2912" i="1"/>
  <c r="D581" i="1"/>
  <c r="D582" i="1"/>
  <c r="D1380" i="1"/>
  <c r="D401" i="1"/>
  <c r="D402" i="1"/>
  <c r="D1834" i="1"/>
  <c r="D1835" i="1"/>
  <c r="D2512" i="1"/>
  <c r="D1405" i="1"/>
  <c r="D1406" i="1"/>
  <c r="D1937" i="1"/>
  <c r="D1938" i="1"/>
  <c r="D2460" i="1"/>
  <c r="D2461" i="1"/>
  <c r="D2469" i="1"/>
  <c r="D104" i="1"/>
  <c r="D1861" i="1"/>
  <c r="D2998" i="1"/>
  <c r="D895" i="1"/>
  <c r="D2794" i="1"/>
  <c r="D2795" i="1"/>
  <c r="D2389" i="1"/>
  <c r="D2390" i="1"/>
  <c r="D2098" i="1"/>
  <c r="D1966" i="1"/>
  <c r="D2951" i="1"/>
  <c r="D550" i="1"/>
  <c r="D231" i="1"/>
  <c r="D2211" i="1"/>
  <c r="D1143" i="1"/>
  <c r="D2135" i="1"/>
  <c r="D864" i="1"/>
  <c r="D622" i="1"/>
  <c r="D2152" i="1"/>
  <c r="D149" i="1"/>
  <c r="D2192" i="1"/>
  <c r="D81" i="1"/>
  <c r="D645" i="1"/>
  <c r="D764" i="1"/>
  <c r="D1217" i="1"/>
  <c r="D1271" i="1"/>
  <c r="D1480" i="1"/>
  <c r="D75" i="1"/>
  <c r="D1846" i="1"/>
  <c r="D1109" i="1"/>
  <c r="D320" i="1"/>
  <c r="D284" i="1"/>
  <c r="D1536" i="1"/>
  <c r="D266" i="1"/>
  <c r="D1272" i="1"/>
  <c r="D769" i="1"/>
  <c r="D131" i="1"/>
  <c r="D2066" i="1"/>
  <c r="D867" i="1"/>
  <c r="D1347" i="1"/>
  <c r="D241" i="1"/>
  <c r="D1262" i="1"/>
  <c r="D1149" i="1"/>
  <c r="D637" i="1"/>
  <c r="D2285" i="1"/>
  <c r="D1696" i="1"/>
  <c r="D2327" i="1"/>
  <c r="D1515" i="1"/>
  <c r="D507" i="1"/>
  <c r="D870" i="1"/>
  <c r="D1071" i="1"/>
  <c r="D304" i="1"/>
  <c r="D2443" i="1"/>
  <c r="D313" i="1"/>
  <c r="D2798" i="1"/>
  <c r="D1155" i="1"/>
  <c r="D1817" i="1"/>
  <c r="D730" i="1"/>
  <c r="D2419" i="1"/>
  <c r="D2213" i="1"/>
  <c r="D1338" i="1"/>
  <c r="D855" i="1"/>
  <c r="D598" i="1"/>
  <c r="D1205" i="1"/>
  <c r="D911" i="1"/>
  <c r="D1560" i="1"/>
  <c r="D314" i="1"/>
  <c r="D1132" i="1"/>
  <c r="D1072" i="1"/>
  <c r="D2433" i="1"/>
  <c r="D2747" i="1"/>
  <c r="D1282" i="1"/>
  <c r="D698" i="1"/>
  <c r="D1546" i="1"/>
  <c r="D763" i="1"/>
  <c r="D2835" i="1"/>
  <c r="D880" i="1"/>
  <c r="D660" i="1"/>
  <c r="D1416" i="1"/>
  <c r="D892" i="1"/>
  <c r="D1162" i="1"/>
  <c r="D905" i="1"/>
  <c r="D890" i="1"/>
  <c r="D790" i="1"/>
  <c r="D753" i="1"/>
  <c r="D2586" i="1"/>
  <c r="D1690" i="1"/>
  <c r="D1826" i="1"/>
  <c r="D206" i="1"/>
  <c r="D1762" i="1"/>
  <c r="D1703" i="1"/>
  <c r="D2388" i="1"/>
  <c r="D2631" i="1"/>
  <c r="D902" i="1"/>
  <c r="D150" i="1"/>
  <c r="D623" i="1"/>
  <c r="D1984" i="1"/>
  <c r="D1324" i="1"/>
  <c r="D1763" i="1"/>
  <c r="D1448" i="1"/>
  <c r="D2106" i="1"/>
  <c r="D2657" i="1"/>
  <c r="D2957" i="1"/>
  <c r="D1400" i="1"/>
  <c r="D1299" i="1"/>
  <c r="D668" i="1"/>
  <c r="D560" i="1"/>
  <c r="D2040" i="1"/>
  <c r="D2867" i="1"/>
  <c r="D2132" i="1"/>
  <c r="D2846" i="1"/>
  <c r="D1112" i="1"/>
  <c r="D1483" i="1"/>
  <c r="D2275" i="1"/>
  <c r="D2466" i="1"/>
  <c r="D1082" i="1"/>
  <c r="D694" i="1"/>
  <c r="D819" i="1"/>
  <c r="D1935" i="1"/>
  <c r="D2554" i="1"/>
  <c r="D2779" i="1"/>
  <c r="D682" i="1"/>
  <c r="D2706" i="1"/>
  <c r="D2851" i="1"/>
  <c r="D1489" i="1"/>
  <c r="D2141" i="1"/>
  <c r="D2226" i="1"/>
  <c r="D2990" i="1"/>
  <c r="D1827" i="1"/>
  <c r="D1127" i="1"/>
  <c r="D76" i="1"/>
  <c r="D2034" i="1"/>
  <c r="D1484" i="1"/>
  <c r="X31" i="51"/>
  <c r="AH31" i="51" s="1"/>
  <c r="V20" i="7"/>
  <c r="AF20" i="7" s="1"/>
  <c r="T19" i="51"/>
  <c r="AD19" i="51" s="1"/>
  <c r="U28" i="51"/>
  <c r="AE28" i="51" s="1"/>
  <c r="V30" i="51"/>
  <c r="AF30" i="51" s="1"/>
  <c r="X27" i="51"/>
  <c r="AH27" i="51" s="1"/>
  <c r="U31" i="7"/>
  <c r="AE31" i="7" s="1"/>
  <c r="W21" i="7"/>
  <c r="AG21" i="7" s="1"/>
  <c r="U24" i="7"/>
  <c r="AE24" i="7" s="1"/>
  <c r="W22" i="51"/>
  <c r="AG22" i="51" s="1"/>
  <c r="U33" i="7"/>
  <c r="AE33" i="7" s="1"/>
  <c r="Y23" i="51"/>
  <c r="AI23" i="51" s="1"/>
  <c r="AN23" i="51" s="1"/>
  <c r="AC23" i="7"/>
  <c r="AM23" i="7" s="1"/>
  <c r="AR23" i="7" s="1"/>
  <c r="U31" i="51"/>
  <c r="AE31" i="51" s="1"/>
  <c r="X20" i="7"/>
  <c r="AH20" i="7" s="1"/>
  <c r="W19" i="51"/>
  <c r="AG19" i="51" s="1"/>
  <c r="AA34" i="7"/>
  <c r="AK34" i="7" s="1"/>
  <c r="AP34" i="7" s="1"/>
  <c r="Z33" i="51"/>
  <c r="AJ33" i="51" s="1"/>
  <c r="AO33" i="51" s="1"/>
  <c r="W30" i="51"/>
  <c r="AG30" i="51" s="1"/>
  <c r="AB34" i="51"/>
  <c r="AL34" i="51" s="1"/>
  <c r="AQ34" i="51" s="1"/>
  <c r="Y30" i="7"/>
  <c r="AI30" i="7" s="1"/>
  <c r="AN30" i="7" s="1"/>
  <c r="AB21" i="51"/>
  <c r="AL21" i="51" s="1"/>
  <c r="AQ21" i="51" s="1"/>
  <c r="AB23" i="51"/>
  <c r="AL23" i="51" s="1"/>
  <c r="AQ23" i="51" s="1"/>
  <c r="V28" i="7"/>
  <c r="AF28" i="7" s="1"/>
  <c r="X31" i="7"/>
  <c r="AH31" i="7" s="1"/>
  <c r="AC30" i="7"/>
  <c r="AM30" i="7" s="1"/>
  <c r="AR30" i="7" s="1"/>
  <c r="T21" i="7"/>
  <c r="AD21" i="7" s="1"/>
  <c r="AA24" i="51"/>
  <c r="AK24" i="51" s="1"/>
  <c r="AP24" i="51" s="1"/>
  <c r="Z24" i="51"/>
  <c r="AJ24" i="51" s="1"/>
  <c r="AO24" i="51" s="1"/>
  <c r="V22" i="51"/>
  <c r="AF22" i="51" s="1"/>
  <c r="W33" i="7"/>
  <c r="AG33" i="7" s="1"/>
  <c r="AB27" i="7"/>
  <c r="AL27" i="7" s="1"/>
  <c r="AQ27" i="7" s="1"/>
  <c r="G28" i="37" s="1"/>
  <c r="Y21" i="51"/>
  <c r="AI21" i="51" s="1"/>
  <c r="AN21" i="51" s="1"/>
  <c r="V31" i="51"/>
  <c r="AF31" i="51" s="1"/>
  <c r="AC26" i="7"/>
  <c r="AM26" i="7" s="1"/>
  <c r="AR26" i="7" s="1"/>
  <c r="W20" i="7"/>
  <c r="AG20" i="7" s="1"/>
  <c r="U19" i="51"/>
  <c r="AE19" i="51" s="1"/>
  <c r="AA27" i="7"/>
  <c r="AK27" i="7" s="1"/>
  <c r="AP27" i="7" s="1"/>
  <c r="F28" i="37" s="1"/>
  <c r="V18" i="51"/>
  <c r="AA18" i="51" s="1"/>
  <c r="T22" i="51"/>
  <c r="AD22" i="51" s="1"/>
  <c r="X28" i="7"/>
  <c r="AH28" i="7" s="1"/>
  <c r="V31" i="7"/>
  <c r="AF31" i="7" s="1"/>
  <c r="X22" i="51"/>
  <c r="AH22" i="51" s="1"/>
  <c r="X18" i="51"/>
  <c r="AC18" i="51" s="1"/>
  <c r="AC26" i="51"/>
  <c r="AM26" i="51" s="1"/>
  <c r="AR26" i="51" s="1"/>
  <c r="W22" i="7"/>
  <c r="AG22" i="7" s="1"/>
  <c r="W24" i="7"/>
  <c r="AG24" i="7" s="1"/>
  <c r="V29" i="7"/>
  <c r="AF29" i="7" s="1"/>
  <c r="U22" i="51"/>
  <c r="AE22" i="51" s="1"/>
  <c r="Y34" i="51"/>
  <c r="AI34" i="51" s="1"/>
  <c r="AN34" i="51" s="1"/>
  <c r="W28" i="51"/>
  <c r="AG28" i="51" s="1"/>
  <c r="W18" i="51"/>
  <c r="AB18" i="51" s="1"/>
  <c r="U22" i="7"/>
  <c r="AE22" i="7" s="1"/>
  <c r="X24" i="7"/>
  <c r="AH24" i="7" s="1"/>
  <c r="V33" i="7"/>
  <c r="AF33" i="7" s="1"/>
  <c r="W28" i="7"/>
  <c r="AG28" i="7" s="1"/>
  <c r="W31" i="7"/>
  <c r="AG31" i="7" s="1"/>
  <c r="T31" i="51"/>
  <c r="AD31" i="51" s="1"/>
  <c r="T18" i="51"/>
  <c r="Y18" i="51" s="1"/>
  <c r="AB26" i="7"/>
  <c r="AL26" i="7" s="1"/>
  <c r="AQ26" i="7" s="1"/>
  <c r="X30" i="51"/>
  <c r="AH30" i="51" s="1"/>
  <c r="V22" i="7"/>
  <c r="AF22" i="7" s="1"/>
  <c r="Y24" i="51"/>
  <c r="AI24" i="51" s="1"/>
  <c r="AN24" i="51" s="1"/>
  <c r="U29" i="7"/>
  <c r="AE29" i="7" s="1"/>
  <c r="X28" i="51"/>
  <c r="AH28" i="51" s="1"/>
  <c r="U30" i="51"/>
  <c r="AE30" i="51" s="1"/>
  <c r="P14" i="49"/>
  <c r="P13" i="49"/>
  <c r="P9" i="49"/>
  <c r="P7" i="49"/>
  <c r="P8" i="49"/>
  <c r="P10" i="49"/>
  <c r="AC33" i="51"/>
  <c r="AM33" i="51" s="1"/>
  <c r="AR33" i="51" s="1"/>
  <c r="U27" i="51"/>
  <c r="AE27" i="51" s="1"/>
  <c r="T28" i="7"/>
  <c r="AD28" i="7" s="1"/>
  <c r="T31" i="7"/>
  <c r="AD31" i="7" s="1"/>
  <c r="U21" i="7"/>
  <c r="AE21" i="7" s="1"/>
  <c r="AA25" i="7"/>
  <c r="AK25" i="7" s="1"/>
  <c r="AP25" i="7" s="1"/>
  <c r="Z23" i="51"/>
  <c r="AJ23" i="51" s="1"/>
  <c r="AO23" i="51" s="1"/>
  <c r="D141" i="83"/>
  <c r="D138" i="83"/>
  <c r="P11" i="49"/>
  <c r="AB32" i="51"/>
  <c r="AL32" i="51" s="1"/>
  <c r="AQ32" i="51" s="1"/>
  <c r="V27" i="51"/>
  <c r="AF27" i="51" s="1"/>
  <c r="U28" i="7"/>
  <c r="AE28" i="7" s="1"/>
  <c r="Z25" i="7"/>
  <c r="AJ25" i="7" s="1"/>
  <c r="AO25" i="7" s="1"/>
  <c r="T22" i="7"/>
  <c r="AD22" i="7" s="1"/>
  <c r="V24" i="7"/>
  <c r="AF24" i="7" s="1"/>
  <c r="AA33" i="51"/>
  <c r="AK33" i="51" s="1"/>
  <c r="AP33" i="51" s="1"/>
  <c r="X29" i="7"/>
  <c r="AH29" i="7" s="1"/>
  <c r="X33" i="7"/>
  <c r="AH33" i="7" s="1"/>
  <c r="M102" i="47"/>
  <c r="Z26" i="51"/>
  <c r="AJ26" i="51" s="1"/>
  <c r="AO26" i="51" s="1"/>
  <c r="AB26" i="51"/>
  <c r="AL26" i="51" s="1"/>
  <c r="AQ26" i="51" s="1"/>
  <c r="X19" i="51"/>
  <c r="AH19" i="51" s="1"/>
  <c r="AA34" i="51"/>
  <c r="AK34" i="51" s="1"/>
  <c r="AP34" i="51" s="1"/>
  <c r="T28" i="51"/>
  <c r="AD28" i="51" s="1"/>
  <c r="U18" i="51"/>
  <c r="Z18" i="51" s="1"/>
  <c r="W27" i="51"/>
  <c r="AG27" i="51" s="1"/>
  <c r="W29" i="7"/>
  <c r="AG29" i="7" s="1"/>
  <c r="T30" i="51"/>
  <c r="AD30" i="51" s="1"/>
  <c r="V21" i="7"/>
  <c r="AF21" i="7" s="1"/>
  <c r="U20" i="7"/>
  <c r="AE20" i="7" s="1"/>
  <c r="X21" i="7"/>
  <c r="AH21" i="7" s="1"/>
  <c r="Z19" i="7"/>
  <c r="AJ19" i="7" s="1"/>
  <c r="AO19" i="7" s="1"/>
  <c r="Z20" i="51"/>
  <c r="AJ20" i="51" s="1"/>
  <c r="AO20" i="51" s="1"/>
  <c r="T27" i="51"/>
  <c r="AD27" i="51" s="1"/>
  <c r="X22" i="7"/>
  <c r="AH22" i="7" s="1"/>
  <c r="AB23" i="7"/>
  <c r="AL23" i="7" s="1"/>
  <c r="AQ23" i="7" s="1"/>
  <c r="T24" i="7"/>
  <c r="AD24" i="7" s="1"/>
  <c r="AB19" i="7"/>
  <c r="AL19" i="7" s="1"/>
  <c r="AQ19" i="7" s="1"/>
  <c r="T29" i="7"/>
  <c r="AD29" i="7" s="1"/>
  <c r="T33" i="7"/>
  <c r="AD33" i="7" s="1"/>
  <c r="W31" i="51"/>
  <c r="AG31" i="51" s="1"/>
  <c r="T20" i="7"/>
  <c r="AD20" i="7" s="1"/>
  <c r="D7" i="1"/>
  <c r="V19" i="51"/>
  <c r="AF19" i="51" s="1"/>
  <c r="V28" i="51"/>
  <c r="AF28" i="51" s="1"/>
  <c r="G9" i="41" l="1"/>
  <c r="L9" i="41" s="1"/>
  <c r="R9" i="41" s="1"/>
  <c r="E9" i="45"/>
  <c r="J9" i="45" s="1"/>
  <c r="P9" i="45" s="1"/>
  <c r="H9" i="46"/>
  <c r="M9" i="46" s="1"/>
  <c r="S9" i="46" s="1"/>
  <c r="E9" i="78"/>
  <c r="J9" i="78" s="1"/>
  <c r="P9" i="78" s="1"/>
  <c r="H9" i="85"/>
  <c r="M9" i="85" s="1"/>
  <c r="S9" i="85" s="1"/>
  <c r="H9" i="44"/>
  <c r="M9" i="44" s="1"/>
  <c r="S9" i="44" s="1"/>
  <c r="E9" i="46"/>
  <c r="J9" i="46" s="1"/>
  <c r="P9" i="46" s="1"/>
  <c r="H9" i="72"/>
  <c r="M9" i="72" s="1"/>
  <c r="S9" i="72" s="1"/>
  <c r="H9" i="37"/>
  <c r="M9" i="37" s="1"/>
  <c r="S9" i="37" s="1"/>
  <c r="H9" i="45"/>
  <c r="M9" i="45" s="1"/>
  <c r="S9" i="45" s="1"/>
  <c r="H9" i="78"/>
  <c r="M9" i="78" s="1"/>
  <c r="S9" i="78" s="1"/>
  <c r="X9" i="78" s="1"/>
  <c r="H9" i="58"/>
  <c r="M9" i="58" s="1"/>
  <c r="S9" i="58" s="1"/>
  <c r="E9" i="58"/>
  <c r="J9" i="58" s="1"/>
  <c r="P9" i="58" s="1"/>
  <c r="E9" i="41"/>
  <c r="J9" i="41" s="1"/>
  <c r="P9" i="41" s="1"/>
  <c r="E9" i="85"/>
  <c r="J9" i="85" s="1"/>
  <c r="P9" i="85" s="1"/>
  <c r="E9" i="37"/>
  <c r="J9" i="37" s="1"/>
  <c r="P9" i="37" s="1"/>
  <c r="E9" i="44"/>
  <c r="J9" i="44" s="1"/>
  <c r="P9" i="44" s="1"/>
  <c r="G9" i="85"/>
  <c r="L9" i="85" s="1"/>
  <c r="R9" i="85" s="1"/>
  <c r="G9" i="46"/>
  <c r="L9" i="46" s="1"/>
  <c r="R9" i="46" s="1"/>
  <c r="G9" i="58"/>
  <c r="L9" i="58" s="1"/>
  <c r="R9" i="58" s="1"/>
  <c r="G9" i="37"/>
  <c r="L9" i="37" s="1"/>
  <c r="R9" i="37" s="1"/>
  <c r="G9" i="45"/>
  <c r="L9" i="45" s="1"/>
  <c r="R9" i="45" s="1"/>
  <c r="G9" i="44"/>
  <c r="L9" i="44" s="1"/>
  <c r="R9" i="44" s="1"/>
  <c r="G9" i="72"/>
  <c r="L9" i="72" s="1"/>
  <c r="R9" i="72" s="1"/>
  <c r="Z33" i="7"/>
  <c r="AJ33" i="7" s="1"/>
  <c r="AO33" i="7" s="1"/>
  <c r="Z29" i="7"/>
  <c r="AJ29" i="7" s="1"/>
  <c r="AO29" i="7" s="1"/>
  <c r="AB33" i="7"/>
  <c r="AL33" i="7" s="1"/>
  <c r="AQ33" i="7" s="1"/>
  <c r="AB29" i="7"/>
  <c r="AL29" i="7" s="1"/>
  <c r="AQ29" i="7" s="1"/>
  <c r="AA19" i="7"/>
  <c r="AK19" i="7" s="1"/>
  <c r="AP19" i="7" s="1"/>
  <c r="Y24" i="7"/>
  <c r="AI24" i="7" s="1"/>
  <c r="AN24" i="7" s="1"/>
  <c r="F13" i="41"/>
  <c r="K13" i="41" s="1"/>
  <c r="Q13" i="41" s="1"/>
  <c r="AA31" i="7"/>
  <c r="AK31" i="7" s="1"/>
  <c r="AP31" i="7" s="1"/>
  <c r="AC22" i="7"/>
  <c r="AM22" i="7" s="1"/>
  <c r="AR22" i="7" s="1"/>
  <c r="Z20" i="7"/>
  <c r="AJ20" i="7" s="1"/>
  <c r="AO20" i="7" s="1"/>
  <c r="AN19" i="7"/>
  <c r="AC21" i="7"/>
  <c r="AM21" i="7" s="1"/>
  <c r="AR21" i="7" s="1"/>
  <c r="AB31" i="7"/>
  <c r="AL31" i="7" s="1"/>
  <c r="AQ31" i="7" s="1"/>
  <c r="AA33" i="7"/>
  <c r="AK33" i="7" s="1"/>
  <c r="AP33" i="7" s="1"/>
  <c r="AA29" i="7"/>
  <c r="AK29" i="7" s="1"/>
  <c r="AP29" i="7" s="1"/>
  <c r="AB22" i="7"/>
  <c r="AL22" i="7" s="1"/>
  <c r="AQ22" i="7" s="1"/>
  <c r="Z24" i="7"/>
  <c r="AJ24" i="7" s="1"/>
  <c r="AO24" i="7" s="1"/>
  <c r="Y20" i="7"/>
  <c r="AI20" i="7" s="1"/>
  <c r="AN20" i="7" s="1"/>
  <c r="Y33" i="7"/>
  <c r="AI33" i="7" s="1"/>
  <c r="AN33" i="7" s="1"/>
  <c r="AB28" i="7"/>
  <c r="AL28" i="7" s="1"/>
  <c r="AQ28" i="7" s="1"/>
  <c r="G29" i="37" s="1"/>
  <c r="Z22" i="7"/>
  <c r="AJ22" i="7" s="1"/>
  <c r="AO22" i="7" s="1"/>
  <c r="Y21" i="7"/>
  <c r="AI21" i="7" s="1"/>
  <c r="AN21" i="7" s="1"/>
  <c r="AA28" i="7"/>
  <c r="AK28" i="7" s="1"/>
  <c r="AP28" i="7" s="1"/>
  <c r="F29" i="37" s="1"/>
  <c r="F9" i="46"/>
  <c r="K9" i="46" s="1"/>
  <c r="Q9" i="46" s="1"/>
  <c r="AN33" i="51"/>
  <c r="D17" i="58" s="1"/>
  <c r="I17" i="58" s="1"/>
  <c r="O17" i="58" s="1"/>
  <c r="D9" i="85"/>
  <c r="I9" i="85" s="1"/>
  <c r="O9" i="85" s="1"/>
  <c r="G13" i="78"/>
  <c r="L13" i="78" s="1"/>
  <c r="R13" i="78" s="1"/>
  <c r="F13" i="72"/>
  <c r="K13" i="72" s="1"/>
  <c r="Q13" i="72" s="1"/>
  <c r="G13" i="72"/>
  <c r="L13" i="72" s="1"/>
  <c r="R13" i="72" s="1"/>
  <c r="G13" i="41"/>
  <c r="L13" i="41" s="1"/>
  <c r="R13" i="41" s="1"/>
  <c r="AP23" i="51"/>
  <c r="F7" i="44" s="1"/>
  <c r="K7" i="44" s="1"/>
  <c r="Q7" i="44" s="1"/>
  <c r="G13" i="44"/>
  <c r="L13" i="44" s="1"/>
  <c r="R13" i="44" s="1"/>
  <c r="F9" i="44"/>
  <c r="K9" i="44" s="1"/>
  <c r="Q9" i="44" s="1"/>
  <c r="G13" i="85"/>
  <c r="L13" i="85" s="1"/>
  <c r="R13" i="85" s="1"/>
  <c r="F9" i="85"/>
  <c r="K9" i="85" s="1"/>
  <c r="Q9" i="85" s="1"/>
  <c r="G13" i="46"/>
  <c r="L13" i="46" s="1"/>
  <c r="R13" i="46" s="1"/>
  <c r="AR24" i="51"/>
  <c r="H8" i="37" s="1"/>
  <c r="M8" i="37" s="1"/>
  <c r="S8" i="37" s="1"/>
  <c r="Y32" i="51"/>
  <c r="AI32" i="51" s="1"/>
  <c r="AN32" i="51" s="1"/>
  <c r="D16" i="41" s="1"/>
  <c r="I16" i="41" s="1"/>
  <c r="O16" i="41" s="1"/>
  <c r="H13" i="72"/>
  <c r="M13" i="72" s="1"/>
  <c r="S13" i="72" s="1"/>
  <c r="F9" i="37"/>
  <c r="K9" i="37" s="1"/>
  <c r="Q9" i="37" s="1"/>
  <c r="F9" i="41"/>
  <c r="K9" i="41" s="1"/>
  <c r="Q9" i="41" s="1"/>
  <c r="F13" i="46"/>
  <c r="K13" i="46" s="1"/>
  <c r="Q13" i="46" s="1"/>
  <c r="G13" i="45"/>
  <c r="L13" i="45" s="1"/>
  <c r="R13" i="45" s="1"/>
  <c r="F9" i="45"/>
  <c r="K9" i="45" s="1"/>
  <c r="Q9" i="45" s="1"/>
  <c r="F9" i="58"/>
  <c r="K9" i="58" s="1"/>
  <c r="Q9" i="58" s="1"/>
  <c r="Y28" i="51"/>
  <c r="AI28" i="51" s="1"/>
  <c r="AN28" i="51" s="1"/>
  <c r="F13" i="58"/>
  <c r="K13" i="58" s="1"/>
  <c r="Q13" i="58" s="1"/>
  <c r="G13" i="58"/>
  <c r="L13" i="58" s="1"/>
  <c r="R13" i="58" s="1"/>
  <c r="F9" i="72"/>
  <c r="K9" i="72" s="1"/>
  <c r="Q9" i="72" s="1"/>
  <c r="D9" i="45"/>
  <c r="I9" i="45" s="1"/>
  <c r="O9" i="45" s="1"/>
  <c r="U9" i="45" s="1"/>
  <c r="D9" i="37"/>
  <c r="I9" i="37" s="1"/>
  <c r="O9" i="37" s="1"/>
  <c r="D9" i="44"/>
  <c r="I9" i="44" s="1"/>
  <c r="O9" i="44" s="1"/>
  <c r="D9" i="41"/>
  <c r="I9" i="41" s="1"/>
  <c r="O9" i="41" s="1"/>
  <c r="X9" i="41" s="1"/>
  <c r="D9" i="46"/>
  <c r="I9" i="46" s="1"/>
  <c r="O9" i="46" s="1"/>
  <c r="D9" i="72"/>
  <c r="I9" i="72" s="1"/>
  <c r="O9" i="72" s="1"/>
  <c r="D9" i="58"/>
  <c r="I9" i="58" s="1"/>
  <c r="O9" i="58" s="1"/>
  <c r="W9" i="58" s="1"/>
  <c r="D11" i="1"/>
  <c r="Y27" i="51"/>
  <c r="AI27" i="51" s="1"/>
  <c r="AN27" i="51" s="1"/>
  <c r="AB30" i="51"/>
  <c r="AL30" i="51" s="1"/>
  <c r="AQ30" i="51" s="1"/>
  <c r="H13" i="44"/>
  <c r="M13" i="44" s="1"/>
  <c r="S13" i="44" s="1"/>
  <c r="F13" i="37"/>
  <c r="K13" i="37" s="1"/>
  <c r="Q13" i="37" s="1"/>
  <c r="F13" i="45"/>
  <c r="K13" i="45" s="1"/>
  <c r="Q13" i="45" s="1"/>
  <c r="E13" i="45"/>
  <c r="J13" i="45" s="1"/>
  <c r="P13" i="45" s="1"/>
  <c r="AA20" i="51"/>
  <c r="AK20" i="51" s="1"/>
  <c r="AP20" i="51" s="1"/>
  <c r="F13" i="44"/>
  <c r="K13" i="44" s="1"/>
  <c r="Q13" i="44" s="1"/>
  <c r="E13" i="85"/>
  <c r="J13" i="85" s="1"/>
  <c r="P13" i="85" s="1"/>
  <c r="E13" i="72"/>
  <c r="J13" i="72" s="1"/>
  <c r="P13" i="72" s="1"/>
  <c r="F13" i="85"/>
  <c r="K13" i="85" s="1"/>
  <c r="Q13" i="85" s="1"/>
  <c r="E13" i="78"/>
  <c r="J13" i="78" s="1"/>
  <c r="P13" i="78" s="1"/>
  <c r="AO34" i="51"/>
  <c r="E18" i="78" s="1"/>
  <c r="J18" i="78" s="1"/>
  <c r="P18" i="78" s="1"/>
  <c r="Z27" i="51"/>
  <c r="AJ27" i="51" s="1"/>
  <c r="AO27" i="51" s="1"/>
  <c r="E13" i="46"/>
  <c r="J13" i="46" s="1"/>
  <c r="P13" i="46" s="1"/>
  <c r="AC19" i="51"/>
  <c r="AM19" i="51" s="1"/>
  <c r="AR19" i="51" s="1"/>
  <c r="E13" i="44"/>
  <c r="J13" i="44" s="1"/>
  <c r="P13" i="44" s="1"/>
  <c r="AA28" i="51"/>
  <c r="AK28" i="51" s="1"/>
  <c r="AP28" i="51" s="1"/>
  <c r="AA27" i="51"/>
  <c r="AK27" i="51" s="1"/>
  <c r="AP27" i="51" s="1"/>
  <c r="AC28" i="51"/>
  <c r="AM28" i="51" s="1"/>
  <c r="AR28" i="51" s="1"/>
  <c r="AA31" i="51"/>
  <c r="AK31" i="51" s="1"/>
  <c r="AP31" i="51" s="1"/>
  <c r="AB19" i="51"/>
  <c r="AL19" i="51" s="1"/>
  <c r="AQ19" i="51" s="1"/>
  <c r="E13" i="41"/>
  <c r="J13" i="41" s="1"/>
  <c r="P13" i="41" s="1"/>
  <c r="E13" i="58"/>
  <c r="J13" i="58" s="1"/>
  <c r="P13" i="58" s="1"/>
  <c r="Y19" i="51"/>
  <c r="AI19" i="51" s="1"/>
  <c r="AN19" i="51" s="1"/>
  <c r="H13" i="46"/>
  <c r="M13" i="46" s="1"/>
  <c r="S13" i="46" s="1"/>
  <c r="AB31" i="51"/>
  <c r="AL31" i="51" s="1"/>
  <c r="AQ31" i="51" s="1"/>
  <c r="AC30" i="51"/>
  <c r="AM30" i="51" s="1"/>
  <c r="AR30" i="51" s="1"/>
  <c r="AC22" i="51"/>
  <c r="AM22" i="51" s="1"/>
  <c r="AR22" i="51" s="1"/>
  <c r="H13" i="45"/>
  <c r="M13" i="45" s="1"/>
  <c r="S13" i="45" s="1"/>
  <c r="H13" i="58"/>
  <c r="M13" i="58" s="1"/>
  <c r="S13" i="58" s="1"/>
  <c r="Y30" i="51"/>
  <c r="AI30" i="51" s="1"/>
  <c r="AN30" i="51" s="1"/>
  <c r="AB28" i="51"/>
  <c r="AL28" i="51" s="1"/>
  <c r="AQ28" i="51" s="1"/>
  <c r="Z22" i="51"/>
  <c r="AJ22" i="51" s="1"/>
  <c r="AO22" i="51" s="1"/>
  <c r="Z19" i="51"/>
  <c r="AJ19" i="51" s="1"/>
  <c r="AO19" i="51" s="1"/>
  <c r="AC27" i="51"/>
  <c r="AM27" i="51" s="1"/>
  <c r="AR27" i="51" s="1"/>
  <c r="H13" i="37"/>
  <c r="M13" i="37" s="1"/>
  <c r="S13" i="37" s="1"/>
  <c r="AA22" i="51"/>
  <c r="AK22" i="51" s="1"/>
  <c r="AP22" i="51" s="1"/>
  <c r="H13" i="41"/>
  <c r="M13" i="41" s="1"/>
  <c r="S13" i="41" s="1"/>
  <c r="C3007" i="1"/>
  <c r="V9" i="78"/>
  <c r="Z31" i="51"/>
  <c r="AJ31" i="51" s="1"/>
  <c r="AO31" i="51" s="1"/>
  <c r="Z28" i="51"/>
  <c r="AJ28" i="51" s="1"/>
  <c r="AO28" i="51" s="1"/>
  <c r="H13" i="85"/>
  <c r="M13" i="85" s="1"/>
  <c r="S13" i="85" s="1"/>
  <c r="Y29" i="51"/>
  <c r="AI29" i="51" s="1"/>
  <c r="AN29" i="51" s="1"/>
  <c r="G16" i="78"/>
  <c r="L16" i="78" s="1"/>
  <c r="R16" i="78" s="1"/>
  <c r="G16" i="41"/>
  <c r="L16" i="41" s="1"/>
  <c r="R16" i="41" s="1"/>
  <c r="G16" i="37"/>
  <c r="L16" i="37" s="1"/>
  <c r="R16" i="37" s="1"/>
  <c r="G16" i="72"/>
  <c r="L16" i="72" s="1"/>
  <c r="R16" i="72" s="1"/>
  <c r="G16" i="85"/>
  <c r="L16" i="85" s="1"/>
  <c r="R16" i="85" s="1"/>
  <c r="G16" i="58"/>
  <c r="L16" i="58" s="1"/>
  <c r="R16" i="58" s="1"/>
  <c r="G16" i="45"/>
  <c r="L16" i="45" s="1"/>
  <c r="R16" i="45" s="1"/>
  <c r="G16" i="44"/>
  <c r="L16" i="44" s="1"/>
  <c r="R16" i="44" s="1"/>
  <c r="G16" i="46"/>
  <c r="L16" i="46" s="1"/>
  <c r="R16" i="46" s="1"/>
  <c r="F18" i="78"/>
  <c r="K18" i="78" s="1"/>
  <c r="Q18" i="78" s="1"/>
  <c r="F18" i="41"/>
  <c r="K18" i="41" s="1"/>
  <c r="Q18" i="41" s="1"/>
  <c r="F18" i="37"/>
  <c r="K18" i="37" s="1"/>
  <c r="Q18" i="37" s="1"/>
  <c r="F18" i="46"/>
  <c r="K18" i="46" s="1"/>
  <c r="Q18" i="46" s="1"/>
  <c r="F18" i="44"/>
  <c r="K18" i="44" s="1"/>
  <c r="Q18" i="44" s="1"/>
  <c r="F18" i="58"/>
  <c r="K18" i="58" s="1"/>
  <c r="Q18" i="58" s="1"/>
  <c r="F18" i="45"/>
  <c r="K18" i="45" s="1"/>
  <c r="Q18" i="45" s="1"/>
  <c r="F18" i="85"/>
  <c r="K18" i="85" s="1"/>
  <c r="Q18" i="85" s="1"/>
  <c r="F18" i="72"/>
  <c r="K18" i="72" s="1"/>
  <c r="Q18" i="72" s="1"/>
  <c r="D8" i="78"/>
  <c r="I8" i="78" s="1"/>
  <c r="O8" i="78" s="1"/>
  <c r="D8" i="37"/>
  <c r="I8" i="37" s="1"/>
  <c r="O8" i="37" s="1"/>
  <c r="D8" i="58"/>
  <c r="I8" i="58" s="1"/>
  <c r="O8" i="58" s="1"/>
  <c r="D8" i="45"/>
  <c r="I8" i="45" s="1"/>
  <c r="O8" i="45" s="1"/>
  <c r="D8" i="44"/>
  <c r="I8" i="44" s="1"/>
  <c r="O8" i="44" s="1"/>
  <c r="D8" i="46"/>
  <c r="I8" i="46" s="1"/>
  <c r="O8" i="46" s="1"/>
  <c r="D8" i="72"/>
  <c r="I8" i="72" s="1"/>
  <c r="O8" i="72" s="1"/>
  <c r="D8" i="41"/>
  <c r="I8" i="41" s="1"/>
  <c r="O8" i="41" s="1"/>
  <c r="D8" i="85"/>
  <c r="I8" i="85" s="1"/>
  <c r="O8" i="85" s="1"/>
  <c r="E8" i="78"/>
  <c r="J8" i="78" s="1"/>
  <c r="P8" i="78" s="1"/>
  <c r="E8" i="37"/>
  <c r="J8" i="37" s="1"/>
  <c r="P8" i="37" s="1"/>
  <c r="E8" i="72"/>
  <c r="J8" i="72" s="1"/>
  <c r="P8" i="72" s="1"/>
  <c r="E8" i="85"/>
  <c r="J8" i="85" s="1"/>
  <c r="P8" i="85" s="1"/>
  <c r="E8" i="44"/>
  <c r="J8" i="44" s="1"/>
  <c r="P8" i="44" s="1"/>
  <c r="E8" i="41"/>
  <c r="J8" i="41" s="1"/>
  <c r="P8" i="41" s="1"/>
  <c r="E8" i="45"/>
  <c r="J8" i="45" s="1"/>
  <c r="P8" i="45" s="1"/>
  <c r="E8" i="46"/>
  <c r="J8" i="46" s="1"/>
  <c r="P8" i="46" s="1"/>
  <c r="E8" i="58"/>
  <c r="J8" i="58" s="1"/>
  <c r="P8" i="58" s="1"/>
  <c r="F17" i="78"/>
  <c r="K17" i="78" s="1"/>
  <c r="Q17" i="78" s="1"/>
  <c r="F17" i="41"/>
  <c r="K17" i="41" s="1"/>
  <c r="Q17" i="41" s="1"/>
  <c r="F17" i="37"/>
  <c r="K17" i="37" s="1"/>
  <c r="Q17" i="37" s="1"/>
  <c r="F17" i="72"/>
  <c r="K17" i="72" s="1"/>
  <c r="Q17" i="72" s="1"/>
  <c r="F17" i="85"/>
  <c r="K17" i="85" s="1"/>
  <c r="Q17" i="85" s="1"/>
  <c r="F17" i="58"/>
  <c r="K17" i="58" s="1"/>
  <c r="Q17" i="58" s="1"/>
  <c r="F17" i="45"/>
  <c r="K17" i="45" s="1"/>
  <c r="Q17" i="45" s="1"/>
  <c r="F17" i="44"/>
  <c r="K17" i="44" s="1"/>
  <c r="Q17" i="44" s="1"/>
  <c r="F17" i="46"/>
  <c r="K17" i="46" s="1"/>
  <c r="Q17" i="46" s="1"/>
  <c r="E7" i="78"/>
  <c r="J7" i="78" s="1"/>
  <c r="P7" i="78" s="1"/>
  <c r="E7" i="41"/>
  <c r="J7" i="41" s="1"/>
  <c r="P7" i="41" s="1"/>
  <c r="E7" i="37"/>
  <c r="J7" i="37" s="1"/>
  <c r="P7" i="37" s="1"/>
  <c r="E7" i="72"/>
  <c r="J7" i="72" s="1"/>
  <c r="P7" i="72" s="1"/>
  <c r="E7" i="85"/>
  <c r="J7" i="85" s="1"/>
  <c r="P7" i="85" s="1"/>
  <c r="E7" i="58"/>
  <c r="J7" i="58" s="1"/>
  <c r="P7" i="58" s="1"/>
  <c r="E7" i="44"/>
  <c r="J7" i="44" s="1"/>
  <c r="P7" i="44" s="1"/>
  <c r="E7" i="46"/>
  <c r="J7" i="46" s="1"/>
  <c r="P7" i="46" s="1"/>
  <c r="E7" i="45"/>
  <c r="J7" i="45" s="1"/>
  <c r="P7" i="45" s="1"/>
  <c r="F26" i="78"/>
  <c r="K26" i="78" s="1"/>
  <c r="Q26" i="78" s="1"/>
  <c r="F26" i="58"/>
  <c r="K26" i="58" s="1"/>
  <c r="Q26" i="58" s="1"/>
  <c r="F26" i="45"/>
  <c r="K26" i="45" s="1"/>
  <c r="Q26" i="45" s="1"/>
  <c r="F26" i="41"/>
  <c r="K26" i="41" s="1"/>
  <c r="Q26" i="41" s="1"/>
  <c r="F26" i="44"/>
  <c r="K26" i="44" s="1"/>
  <c r="Q26" i="44" s="1"/>
  <c r="F26" i="46"/>
  <c r="K26" i="46" s="1"/>
  <c r="Q26" i="46" s="1"/>
  <c r="F26" i="85"/>
  <c r="K26" i="85" s="1"/>
  <c r="Q26" i="85" s="1"/>
  <c r="F26" i="37"/>
  <c r="K26" i="37" s="1"/>
  <c r="Q26" i="37" s="1"/>
  <c r="F26" i="72"/>
  <c r="K26" i="72" s="1"/>
  <c r="Q26" i="72" s="1"/>
  <c r="F8" i="78"/>
  <c r="K8" i="78" s="1"/>
  <c r="Q8" i="78" s="1"/>
  <c r="F8" i="72"/>
  <c r="K8" i="72" s="1"/>
  <c r="Q8" i="72" s="1"/>
  <c r="V8" i="72" s="1"/>
  <c r="F8" i="85"/>
  <c r="K8" i="85" s="1"/>
  <c r="Q8" i="85" s="1"/>
  <c r="F8" i="41"/>
  <c r="K8" i="41" s="1"/>
  <c r="Q8" i="41" s="1"/>
  <c r="F8" i="37"/>
  <c r="K8" i="37" s="1"/>
  <c r="Q8" i="37" s="1"/>
  <c r="V8" i="37" s="1"/>
  <c r="F8" i="46"/>
  <c r="K8" i="46" s="1"/>
  <c r="Q8" i="46" s="1"/>
  <c r="F8" i="44"/>
  <c r="K8" i="44" s="1"/>
  <c r="Q8" i="44" s="1"/>
  <c r="F8" i="58"/>
  <c r="K8" i="58" s="1"/>
  <c r="Q8" i="58" s="1"/>
  <c r="F8" i="45"/>
  <c r="K8" i="45" s="1"/>
  <c r="Q8" i="45" s="1"/>
  <c r="F35" i="78"/>
  <c r="K35" i="78" s="1"/>
  <c r="Q35" i="78" s="1"/>
  <c r="F35" i="41"/>
  <c r="K35" i="41" s="1"/>
  <c r="Q35" i="41" s="1"/>
  <c r="F35" i="37"/>
  <c r="K35" i="37" s="1"/>
  <c r="Q35" i="37" s="1"/>
  <c r="F35" i="46"/>
  <c r="K35" i="46" s="1"/>
  <c r="Q35" i="46" s="1"/>
  <c r="F35" i="44"/>
  <c r="K35" i="44" s="1"/>
  <c r="Q35" i="44" s="1"/>
  <c r="F35" i="58"/>
  <c r="K35" i="58" s="1"/>
  <c r="Q35" i="58" s="1"/>
  <c r="F35" i="45"/>
  <c r="K35" i="45" s="1"/>
  <c r="Q35" i="45" s="1"/>
  <c r="F35" i="85"/>
  <c r="K35" i="85" s="1"/>
  <c r="Q35" i="85" s="1"/>
  <c r="F35" i="72"/>
  <c r="K35" i="72" s="1"/>
  <c r="Q35" i="72" s="1"/>
  <c r="E10" i="78"/>
  <c r="J10" i="78" s="1"/>
  <c r="P10" i="78" s="1"/>
  <c r="E10" i="37"/>
  <c r="J10" i="37" s="1"/>
  <c r="P10" i="37" s="1"/>
  <c r="E10" i="41"/>
  <c r="J10" i="41" s="1"/>
  <c r="P10" i="41" s="1"/>
  <c r="E10" i="46"/>
  <c r="J10" i="46" s="1"/>
  <c r="P10" i="46" s="1"/>
  <c r="E10" i="44"/>
  <c r="J10" i="44" s="1"/>
  <c r="P10" i="44" s="1"/>
  <c r="E10" i="58"/>
  <c r="J10" i="58" s="1"/>
  <c r="P10" i="58" s="1"/>
  <c r="E10" i="45"/>
  <c r="J10" i="45" s="1"/>
  <c r="P10" i="45" s="1"/>
  <c r="E10" i="72"/>
  <c r="J10" i="72" s="1"/>
  <c r="P10" i="72" s="1"/>
  <c r="E10" i="85"/>
  <c r="J10" i="85" s="1"/>
  <c r="P10" i="85" s="1"/>
  <c r="D31" i="78"/>
  <c r="I31" i="78" s="1"/>
  <c r="O31" i="78" s="1"/>
  <c r="T31" i="78" s="1"/>
  <c r="D31" i="58"/>
  <c r="I31" i="58" s="1"/>
  <c r="O31" i="58" s="1"/>
  <c r="T31" i="58" s="1"/>
  <c r="D31" i="45"/>
  <c r="I31" i="45" s="1"/>
  <c r="O31" i="45" s="1"/>
  <c r="T31" i="45" s="1"/>
  <c r="D31" i="41"/>
  <c r="I31" i="41" s="1"/>
  <c r="O31" i="41" s="1"/>
  <c r="T31" i="41" s="1"/>
  <c r="D31" i="44"/>
  <c r="I31" i="44" s="1"/>
  <c r="O31" i="44" s="1"/>
  <c r="T31" i="44" s="1"/>
  <c r="D31" i="37"/>
  <c r="I31" i="37" s="1"/>
  <c r="O31" i="37" s="1"/>
  <c r="T31" i="37" s="1"/>
  <c r="D31" i="46"/>
  <c r="I31" i="46" s="1"/>
  <c r="O31" i="46" s="1"/>
  <c r="T31" i="46" s="1"/>
  <c r="D31" i="85"/>
  <c r="I31" i="85" s="1"/>
  <c r="O31" i="85" s="1"/>
  <c r="T31" i="85" s="1"/>
  <c r="D31" i="72"/>
  <c r="I31" i="72" s="1"/>
  <c r="O31" i="72" s="1"/>
  <c r="T31" i="72" s="1"/>
  <c r="D27" i="78"/>
  <c r="I27" i="78" s="1"/>
  <c r="O27" i="78" s="1"/>
  <c r="T27" i="78" s="1"/>
  <c r="D27" i="37"/>
  <c r="I27" i="37" s="1"/>
  <c r="O27" i="37" s="1"/>
  <c r="T27" i="37" s="1"/>
  <c r="D27" i="58"/>
  <c r="I27" i="58" s="1"/>
  <c r="O27" i="58" s="1"/>
  <c r="T27" i="58" s="1"/>
  <c r="D27" i="45"/>
  <c r="I27" i="45" s="1"/>
  <c r="O27" i="45" s="1"/>
  <c r="T27" i="45" s="1"/>
  <c r="D27" i="44"/>
  <c r="I27" i="44" s="1"/>
  <c r="O27" i="44" s="1"/>
  <c r="T27" i="44" s="1"/>
  <c r="D27" i="46"/>
  <c r="I27" i="46" s="1"/>
  <c r="O27" i="46" s="1"/>
  <c r="T27" i="46" s="1"/>
  <c r="D27" i="72"/>
  <c r="I27" i="72" s="1"/>
  <c r="O27" i="72" s="1"/>
  <c r="T27" i="72" s="1"/>
  <c r="D27" i="41"/>
  <c r="I27" i="41" s="1"/>
  <c r="O27" i="41" s="1"/>
  <c r="T27" i="41" s="1"/>
  <c r="D27" i="85"/>
  <c r="I27" i="85" s="1"/>
  <c r="O27" i="85" s="1"/>
  <c r="T27" i="85" s="1"/>
  <c r="D26" i="46"/>
  <c r="I26" i="46" s="1"/>
  <c r="O26" i="46" s="1"/>
  <c r="T26" i="46" s="1"/>
  <c r="D26" i="44"/>
  <c r="I26" i="44" s="1"/>
  <c r="O26" i="44" s="1"/>
  <c r="T26" i="44" s="1"/>
  <c r="D26" i="41"/>
  <c r="I26" i="41" s="1"/>
  <c r="O26" i="41" s="1"/>
  <c r="T26" i="41" s="1"/>
  <c r="D26" i="72"/>
  <c r="I26" i="72" s="1"/>
  <c r="O26" i="72" s="1"/>
  <c r="T26" i="72" s="1"/>
  <c r="D26" i="58"/>
  <c r="I26" i="58" s="1"/>
  <c r="O26" i="58" s="1"/>
  <c r="T26" i="58" s="1"/>
  <c r="D26" i="45"/>
  <c r="I26" i="45" s="1"/>
  <c r="O26" i="45" s="1"/>
  <c r="T26" i="45" s="1"/>
  <c r="D26" i="85"/>
  <c r="I26" i="85" s="1"/>
  <c r="O26" i="85" s="1"/>
  <c r="T26" i="85" s="1"/>
  <c r="D26" i="78"/>
  <c r="I26" i="78" s="1"/>
  <c r="O26" i="78" s="1"/>
  <c r="T26" i="78" s="1"/>
  <c r="D26" i="37"/>
  <c r="I26" i="37" s="1"/>
  <c r="O26" i="37" s="1"/>
  <c r="T26" i="37" s="1"/>
  <c r="G27" i="78"/>
  <c r="L27" i="78" s="1"/>
  <c r="R27" i="78" s="1"/>
  <c r="G27" i="58"/>
  <c r="L27" i="58" s="1"/>
  <c r="R27" i="58" s="1"/>
  <c r="G27" i="45"/>
  <c r="L27" i="45" s="1"/>
  <c r="R27" i="45" s="1"/>
  <c r="G27" i="44"/>
  <c r="L27" i="44" s="1"/>
  <c r="R27" i="44" s="1"/>
  <c r="G27" i="37"/>
  <c r="L27" i="37" s="1"/>
  <c r="R27" i="37" s="1"/>
  <c r="G27" i="46"/>
  <c r="L27" i="46" s="1"/>
  <c r="R27" i="46" s="1"/>
  <c r="G27" i="41"/>
  <c r="L27" i="41" s="1"/>
  <c r="R27" i="41" s="1"/>
  <c r="G27" i="85"/>
  <c r="L27" i="85" s="1"/>
  <c r="R27" i="85" s="1"/>
  <c r="G27" i="72"/>
  <c r="L27" i="72" s="1"/>
  <c r="R27" i="72" s="1"/>
  <c r="W27" i="72" s="1"/>
  <c r="G10" i="78"/>
  <c r="L10" i="78" s="1"/>
  <c r="R10" i="78" s="1"/>
  <c r="G10" i="37"/>
  <c r="L10" i="37" s="1"/>
  <c r="R10" i="37" s="1"/>
  <c r="G10" i="58"/>
  <c r="L10" i="58" s="1"/>
  <c r="R10" i="58" s="1"/>
  <c r="G10" i="45"/>
  <c r="L10" i="45" s="1"/>
  <c r="R10" i="45" s="1"/>
  <c r="G10" i="41"/>
  <c r="L10" i="41" s="1"/>
  <c r="R10" i="41" s="1"/>
  <c r="G10" i="44"/>
  <c r="L10" i="44" s="1"/>
  <c r="R10" i="44" s="1"/>
  <c r="G10" i="46"/>
  <c r="L10" i="46" s="1"/>
  <c r="R10" i="46" s="1"/>
  <c r="G10" i="85"/>
  <c r="L10" i="85" s="1"/>
  <c r="R10" i="85" s="1"/>
  <c r="G10" i="72"/>
  <c r="L10" i="72" s="1"/>
  <c r="R10" i="72" s="1"/>
  <c r="G5" i="78"/>
  <c r="L5" i="78" s="1"/>
  <c r="R5" i="78" s="1"/>
  <c r="G5" i="41"/>
  <c r="L5" i="41" s="1"/>
  <c r="R5" i="41" s="1"/>
  <c r="G5" i="72"/>
  <c r="L5" i="72" s="1"/>
  <c r="R5" i="72" s="1"/>
  <c r="G5" i="45"/>
  <c r="L5" i="45" s="1"/>
  <c r="R5" i="45" s="1"/>
  <c r="G5" i="46"/>
  <c r="L5" i="46" s="1"/>
  <c r="R5" i="46" s="1"/>
  <c r="G5" i="85"/>
  <c r="L5" i="85" s="1"/>
  <c r="R5" i="85" s="1"/>
  <c r="G5" i="44"/>
  <c r="L5" i="44" s="1"/>
  <c r="R5" i="44" s="1"/>
  <c r="G5" i="58"/>
  <c r="L5" i="58" s="1"/>
  <c r="R5" i="58" s="1"/>
  <c r="G5" i="37"/>
  <c r="L5" i="37" s="1"/>
  <c r="R5" i="37" s="1"/>
  <c r="AC33" i="7"/>
  <c r="AM33" i="7" s="1"/>
  <c r="AR33" i="7" s="1"/>
  <c r="U9" i="78"/>
  <c r="H33" i="46"/>
  <c r="M33" i="46" s="1"/>
  <c r="S33" i="46" s="1"/>
  <c r="H33" i="44"/>
  <c r="M33" i="44" s="1"/>
  <c r="S33" i="44" s="1"/>
  <c r="H33" i="41"/>
  <c r="M33" i="41" s="1"/>
  <c r="S33" i="41" s="1"/>
  <c r="H33" i="78"/>
  <c r="M33" i="78" s="1"/>
  <c r="S33" i="78" s="1"/>
  <c r="H33" i="58"/>
  <c r="M33" i="58" s="1"/>
  <c r="S33" i="58" s="1"/>
  <c r="H33" i="37"/>
  <c r="M33" i="37" s="1"/>
  <c r="S33" i="37" s="1"/>
  <c r="H33" i="72"/>
  <c r="M33" i="72" s="1"/>
  <c r="S33" i="72" s="1"/>
  <c r="H33" i="45"/>
  <c r="M33" i="45" s="1"/>
  <c r="S33" i="45" s="1"/>
  <c r="H33" i="85"/>
  <c r="M33" i="85" s="1"/>
  <c r="S33" i="85" s="1"/>
  <c r="D7" i="78"/>
  <c r="I7" i="78" s="1"/>
  <c r="O7" i="78" s="1"/>
  <c r="D7" i="72"/>
  <c r="I7" i="72" s="1"/>
  <c r="O7" i="72" s="1"/>
  <c r="D7" i="85"/>
  <c r="I7" i="85" s="1"/>
  <c r="O7" i="85" s="1"/>
  <c r="D7" i="46"/>
  <c r="I7" i="46" s="1"/>
  <c r="O7" i="46" s="1"/>
  <c r="D7" i="44"/>
  <c r="I7" i="44" s="1"/>
  <c r="O7" i="44" s="1"/>
  <c r="D7" i="37"/>
  <c r="I7" i="37" s="1"/>
  <c r="O7" i="37" s="1"/>
  <c r="D7" i="58"/>
  <c r="I7" i="58" s="1"/>
  <c r="O7" i="58" s="1"/>
  <c r="D7" i="41"/>
  <c r="I7" i="41" s="1"/>
  <c r="O7" i="41" s="1"/>
  <c r="D7" i="45"/>
  <c r="I7" i="45" s="1"/>
  <c r="O7" i="45" s="1"/>
  <c r="AB20" i="7"/>
  <c r="AL20" i="7" s="1"/>
  <c r="AQ20" i="7" s="1"/>
  <c r="E35" i="78"/>
  <c r="J35" i="78" s="1"/>
  <c r="P35" i="78" s="1"/>
  <c r="E35" i="41"/>
  <c r="J35" i="41" s="1"/>
  <c r="P35" i="41" s="1"/>
  <c r="E35" i="37"/>
  <c r="J35" i="37" s="1"/>
  <c r="P35" i="37" s="1"/>
  <c r="E35" i="72"/>
  <c r="J35" i="72" s="1"/>
  <c r="P35" i="72" s="1"/>
  <c r="E35" i="85"/>
  <c r="J35" i="85" s="1"/>
  <c r="P35" i="85" s="1"/>
  <c r="E35" i="58"/>
  <c r="J35" i="58" s="1"/>
  <c r="P35" i="58" s="1"/>
  <c r="E35" i="45"/>
  <c r="J35" i="45" s="1"/>
  <c r="P35" i="45" s="1"/>
  <c r="E35" i="46"/>
  <c r="J35" i="46" s="1"/>
  <c r="P35" i="46" s="1"/>
  <c r="E35" i="44"/>
  <c r="J35" i="44" s="1"/>
  <c r="P35" i="44" s="1"/>
  <c r="AC20" i="7"/>
  <c r="AM20" i="7" s="1"/>
  <c r="AR20" i="7" s="1"/>
  <c r="H16" i="78"/>
  <c r="M16" i="78" s="1"/>
  <c r="S16" i="78" s="1"/>
  <c r="H16" i="46"/>
  <c r="M16" i="46" s="1"/>
  <c r="S16" i="46" s="1"/>
  <c r="H16" i="44"/>
  <c r="M16" i="44" s="1"/>
  <c r="S16" i="44" s="1"/>
  <c r="H16" i="41"/>
  <c r="M16" i="41" s="1"/>
  <c r="S16" i="41" s="1"/>
  <c r="H16" i="37"/>
  <c r="M16" i="37" s="1"/>
  <c r="S16" i="37" s="1"/>
  <c r="H16" i="58"/>
  <c r="M16" i="58" s="1"/>
  <c r="S16" i="58" s="1"/>
  <c r="H16" i="85"/>
  <c r="M16" i="85" s="1"/>
  <c r="S16" i="85" s="1"/>
  <c r="H16" i="45"/>
  <c r="M16" i="45" s="1"/>
  <c r="S16" i="45" s="1"/>
  <c r="H16" i="72"/>
  <c r="M16" i="72" s="1"/>
  <c r="S16" i="72" s="1"/>
  <c r="H18" i="78"/>
  <c r="M18" i="78" s="1"/>
  <c r="S18" i="78" s="1"/>
  <c r="H18" i="41"/>
  <c r="M18" i="41" s="1"/>
  <c r="S18" i="41" s="1"/>
  <c r="H18" i="58"/>
  <c r="M18" i="58" s="1"/>
  <c r="S18" i="58" s="1"/>
  <c r="H18" i="45"/>
  <c r="M18" i="45" s="1"/>
  <c r="S18" i="45" s="1"/>
  <c r="H18" i="37"/>
  <c r="M18" i="37" s="1"/>
  <c r="S18" i="37" s="1"/>
  <c r="H18" i="44"/>
  <c r="M18" i="44" s="1"/>
  <c r="S18" i="44" s="1"/>
  <c r="H18" i="46"/>
  <c r="M18" i="46" s="1"/>
  <c r="S18" i="46" s="1"/>
  <c r="H18" i="85"/>
  <c r="M18" i="85" s="1"/>
  <c r="S18" i="85" s="1"/>
  <c r="H18" i="72"/>
  <c r="M18" i="72" s="1"/>
  <c r="S18" i="72" s="1"/>
  <c r="H24" i="78"/>
  <c r="M24" i="78" s="1"/>
  <c r="S24" i="78" s="1"/>
  <c r="H24" i="58"/>
  <c r="M24" i="58" s="1"/>
  <c r="S24" i="58" s="1"/>
  <c r="H24" i="45"/>
  <c r="M24" i="45" s="1"/>
  <c r="S24" i="45" s="1"/>
  <c r="H24" i="37"/>
  <c r="M24" i="37" s="1"/>
  <c r="S24" i="37" s="1"/>
  <c r="H24" i="44"/>
  <c r="M24" i="44" s="1"/>
  <c r="S24" i="44" s="1"/>
  <c r="H24" i="85"/>
  <c r="M24" i="85" s="1"/>
  <c r="S24" i="85" s="1"/>
  <c r="H24" i="41"/>
  <c r="M24" i="41" s="1"/>
  <c r="S24" i="41" s="1"/>
  <c r="H24" i="72"/>
  <c r="M24" i="72" s="1"/>
  <c r="S24" i="72" s="1"/>
  <c r="H24" i="46"/>
  <c r="M24" i="46" s="1"/>
  <c r="S24" i="46" s="1"/>
  <c r="Y29" i="7"/>
  <c r="AI29" i="7" s="1"/>
  <c r="AN29" i="7" s="1"/>
  <c r="AC29" i="7"/>
  <c r="AM29" i="7" s="1"/>
  <c r="AR29" i="7" s="1"/>
  <c r="Y22" i="7"/>
  <c r="AI22" i="7" s="1"/>
  <c r="AN22" i="7" s="1"/>
  <c r="Z21" i="7"/>
  <c r="AJ21" i="7" s="1"/>
  <c r="AO21" i="7" s="1"/>
  <c r="Z30" i="51"/>
  <c r="AJ30" i="51" s="1"/>
  <c r="AO30" i="51" s="1"/>
  <c r="D10" i="78"/>
  <c r="I10" i="78" s="1"/>
  <c r="O10" i="78" s="1"/>
  <c r="D10" i="37"/>
  <c r="I10" i="37" s="1"/>
  <c r="O10" i="37" s="1"/>
  <c r="D10" i="58"/>
  <c r="I10" i="58" s="1"/>
  <c r="O10" i="58" s="1"/>
  <c r="D10" i="45"/>
  <c r="I10" i="45" s="1"/>
  <c r="O10" i="45" s="1"/>
  <c r="D10" i="44"/>
  <c r="I10" i="44" s="1"/>
  <c r="O10" i="44" s="1"/>
  <c r="D10" i="46"/>
  <c r="I10" i="46" s="1"/>
  <c r="O10" i="46" s="1"/>
  <c r="D10" i="41"/>
  <c r="I10" i="41" s="1"/>
  <c r="O10" i="41" s="1"/>
  <c r="D10" i="72"/>
  <c r="I10" i="72" s="1"/>
  <c r="O10" i="72" s="1"/>
  <c r="D10" i="85"/>
  <c r="I10" i="85" s="1"/>
  <c r="O10" i="85" s="1"/>
  <c r="AC24" i="7"/>
  <c r="AM24" i="7" s="1"/>
  <c r="AR24" i="7" s="1"/>
  <c r="G17" i="46"/>
  <c r="L17" i="46" s="1"/>
  <c r="R17" i="46" s="1"/>
  <c r="G17" i="44"/>
  <c r="L17" i="44" s="1"/>
  <c r="R17" i="44" s="1"/>
  <c r="G17" i="41"/>
  <c r="L17" i="41" s="1"/>
  <c r="R17" i="41" s="1"/>
  <c r="G17" i="78"/>
  <c r="L17" i="78" s="1"/>
  <c r="R17" i="78" s="1"/>
  <c r="G17" i="58"/>
  <c r="L17" i="58" s="1"/>
  <c r="R17" i="58" s="1"/>
  <c r="G17" i="72"/>
  <c r="L17" i="72" s="1"/>
  <c r="R17" i="72" s="1"/>
  <c r="G17" i="45"/>
  <c r="L17" i="45" s="1"/>
  <c r="R17" i="45" s="1"/>
  <c r="G17" i="85"/>
  <c r="L17" i="85" s="1"/>
  <c r="R17" i="85" s="1"/>
  <c r="G17" i="37"/>
  <c r="L17" i="37" s="1"/>
  <c r="R17" i="37" s="1"/>
  <c r="AB22" i="51"/>
  <c r="AL22" i="51" s="1"/>
  <c r="AQ22" i="51" s="1"/>
  <c r="Z31" i="7"/>
  <c r="AJ31" i="7" s="1"/>
  <c r="AO31" i="7" s="1"/>
  <c r="E5" i="78"/>
  <c r="J5" i="78" s="1"/>
  <c r="P5" i="78" s="1"/>
  <c r="E5" i="85"/>
  <c r="J5" i="85" s="1"/>
  <c r="P5" i="85" s="1"/>
  <c r="E5" i="37"/>
  <c r="J5" i="37" s="1"/>
  <c r="P5" i="37" s="1"/>
  <c r="E5" i="58"/>
  <c r="J5" i="58" s="1"/>
  <c r="P5" i="58" s="1"/>
  <c r="E5" i="44"/>
  <c r="J5" i="44" s="1"/>
  <c r="P5" i="44" s="1"/>
  <c r="E5" i="41"/>
  <c r="J5" i="41" s="1"/>
  <c r="P5" i="41" s="1"/>
  <c r="E5" i="45"/>
  <c r="J5" i="45" s="1"/>
  <c r="P5" i="45" s="1"/>
  <c r="E5" i="46"/>
  <c r="J5" i="46" s="1"/>
  <c r="P5" i="46" s="1"/>
  <c r="E5" i="72"/>
  <c r="J5" i="72" s="1"/>
  <c r="P5" i="72" s="1"/>
  <c r="G18" i="78"/>
  <c r="L18" i="78" s="1"/>
  <c r="R18" i="78" s="1"/>
  <c r="G18" i="37"/>
  <c r="L18" i="37" s="1"/>
  <c r="R18" i="37" s="1"/>
  <c r="G18" i="72"/>
  <c r="L18" i="72" s="1"/>
  <c r="R18" i="72" s="1"/>
  <c r="G18" i="85"/>
  <c r="L18" i="85" s="1"/>
  <c r="R18" i="85" s="1"/>
  <c r="G18" i="46"/>
  <c r="L18" i="46" s="1"/>
  <c r="R18" i="46" s="1"/>
  <c r="G18" i="44"/>
  <c r="L18" i="44" s="1"/>
  <c r="R18" i="44" s="1"/>
  <c r="G18" i="41"/>
  <c r="L18" i="41" s="1"/>
  <c r="R18" i="41" s="1"/>
  <c r="G18" i="45"/>
  <c r="L18" i="45" s="1"/>
  <c r="R18" i="45" s="1"/>
  <c r="G18" i="58"/>
  <c r="L18" i="58" s="1"/>
  <c r="R18" i="58" s="1"/>
  <c r="G24" i="78"/>
  <c r="L24" i="78" s="1"/>
  <c r="R24" i="78" s="1"/>
  <c r="G24" i="46"/>
  <c r="L24" i="46" s="1"/>
  <c r="R24" i="46" s="1"/>
  <c r="G24" i="37"/>
  <c r="L24" i="37" s="1"/>
  <c r="R24" i="37" s="1"/>
  <c r="G24" i="45"/>
  <c r="L24" i="45" s="1"/>
  <c r="R24" i="45" s="1"/>
  <c r="G24" i="58"/>
  <c r="L24" i="58" s="1"/>
  <c r="R24" i="58" s="1"/>
  <c r="G24" i="85"/>
  <c r="L24" i="85" s="1"/>
  <c r="R24" i="85" s="1"/>
  <c r="G24" i="72"/>
  <c r="L24" i="72" s="1"/>
  <c r="R24" i="72" s="1"/>
  <c r="G24" i="41"/>
  <c r="L24" i="41" s="1"/>
  <c r="R24" i="41" s="1"/>
  <c r="G24" i="44"/>
  <c r="L24" i="44" s="1"/>
  <c r="R24" i="44" s="1"/>
  <c r="F16" i="78"/>
  <c r="K16" i="78" s="1"/>
  <c r="Q16" i="78" s="1"/>
  <c r="F16" i="72"/>
  <c r="K16" i="72" s="1"/>
  <c r="Q16" i="72" s="1"/>
  <c r="F16" i="85"/>
  <c r="K16" i="85" s="1"/>
  <c r="Q16" i="85" s="1"/>
  <c r="F16" i="44"/>
  <c r="K16" i="44" s="1"/>
  <c r="Q16" i="44" s="1"/>
  <c r="F16" i="37"/>
  <c r="K16" i="37" s="1"/>
  <c r="Q16" i="37" s="1"/>
  <c r="F16" i="45"/>
  <c r="K16" i="45" s="1"/>
  <c r="Q16" i="45" s="1"/>
  <c r="F16" i="46"/>
  <c r="K16" i="46" s="1"/>
  <c r="Q16" i="46" s="1"/>
  <c r="F16" i="58"/>
  <c r="K16" i="58" s="1"/>
  <c r="Q16" i="58" s="1"/>
  <c r="F16" i="41"/>
  <c r="K16" i="41" s="1"/>
  <c r="Q16" i="41" s="1"/>
  <c r="W9" i="78"/>
  <c r="Y22" i="51"/>
  <c r="AI22" i="51" s="1"/>
  <c r="AN22" i="51" s="1"/>
  <c r="G8" i="78"/>
  <c r="L8" i="78" s="1"/>
  <c r="R8" i="78" s="1"/>
  <c r="G8" i="37"/>
  <c r="L8" i="37" s="1"/>
  <c r="R8" i="37" s="1"/>
  <c r="G8" i="45"/>
  <c r="L8" i="45" s="1"/>
  <c r="R8" i="45" s="1"/>
  <c r="G8" i="46"/>
  <c r="L8" i="46" s="1"/>
  <c r="R8" i="46" s="1"/>
  <c r="G8" i="41"/>
  <c r="L8" i="41" s="1"/>
  <c r="R8" i="41" s="1"/>
  <c r="G8" i="44"/>
  <c r="L8" i="44" s="1"/>
  <c r="R8" i="44" s="1"/>
  <c r="G8" i="85"/>
  <c r="L8" i="85" s="1"/>
  <c r="R8" i="85" s="1"/>
  <c r="G8" i="58"/>
  <c r="L8" i="58" s="1"/>
  <c r="R8" i="58" s="1"/>
  <c r="G8" i="72"/>
  <c r="L8" i="72" s="1"/>
  <c r="R8" i="72" s="1"/>
  <c r="F33" i="78"/>
  <c r="K33" i="78" s="1"/>
  <c r="Q33" i="78" s="1"/>
  <c r="F33" i="72"/>
  <c r="K33" i="72" s="1"/>
  <c r="Q33" i="72" s="1"/>
  <c r="F33" i="85"/>
  <c r="K33" i="85" s="1"/>
  <c r="Q33" i="85" s="1"/>
  <c r="F33" i="44"/>
  <c r="K33" i="44" s="1"/>
  <c r="Q33" i="44" s="1"/>
  <c r="F33" i="37"/>
  <c r="K33" i="37" s="1"/>
  <c r="Q33" i="37" s="1"/>
  <c r="F33" i="45"/>
  <c r="K33" i="45" s="1"/>
  <c r="Q33" i="45" s="1"/>
  <c r="F33" i="58"/>
  <c r="K33" i="58" s="1"/>
  <c r="Q33" i="58" s="1"/>
  <c r="F33" i="41"/>
  <c r="K33" i="41" s="1"/>
  <c r="Q33" i="41" s="1"/>
  <c r="F33" i="46"/>
  <c r="K33" i="46" s="1"/>
  <c r="Q33" i="46" s="1"/>
  <c r="D5" i="78"/>
  <c r="I5" i="78" s="1"/>
  <c r="O5" i="78" s="1"/>
  <c r="D5" i="41"/>
  <c r="I5" i="41" s="1"/>
  <c r="O5" i="41" s="1"/>
  <c r="D5" i="58"/>
  <c r="I5" i="58" s="1"/>
  <c r="O5" i="58" s="1"/>
  <c r="D5" i="45"/>
  <c r="I5" i="45" s="1"/>
  <c r="O5" i="45" s="1"/>
  <c r="D5" i="44"/>
  <c r="I5" i="44" s="1"/>
  <c r="O5" i="44" s="1"/>
  <c r="D5" i="46"/>
  <c r="I5" i="46" s="1"/>
  <c r="O5" i="46" s="1"/>
  <c r="D5" i="72"/>
  <c r="I5" i="72" s="1"/>
  <c r="O5" i="72" s="1"/>
  <c r="D5" i="37"/>
  <c r="I5" i="37" s="1"/>
  <c r="O5" i="37" s="1"/>
  <c r="D5" i="85"/>
  <c r="I5" i="85" s="1"/>
  <c r="O5" i="85" s="1"/>
  <c r="D18" i="78"/>
  <c r="I18" i="78" s="1"/>
  <c r="O18" i="78" s="1"/>
  <c r="D18" i="72"/>
  <c r="I18" i="72" s="1"/>
  <c r="O18" i="72" s="1"/>
  <c r="D18" i="85"/>
  <c r="I18" i="85" s="1"/>
  <c r="O18" i="85" s="1"/>
  <c r="D18" i="41"/>
  <c r="I18" i="41" s="1"/>
  <c r="O18" i="41" s="1"/>
  <c r="D18" i="46"/>
  <c r="I18" i="46" s="1"/>
  <c r="O18" i="46" s="1"/>
  <c r="D18" i="44"/>
  <c r="I18" i="44" s="1"/>
  <c r="O18" i="44" s="1"/>
  <c r="D18" i="58"/>
  <c r="I18" i="58" s="1"/>
  <c r="O18" i="58" s="1"/>
  <c r="D18" i="45"/>
  <c r="I18" i="45" s="1"/>
  <c r="O18" i="45" s="1"/>
  <c r="D18" i="37"/>
  <c r="I18" i="37" s="1"/>
  <c r="O18" i="37" s="1"/>
  <c r="H35" i="78"/>
  <c r="M35" i="78" s="1"/>
  <c r="S35" i="78" s="1"/>
  <c r="H35" i="58"/>
  <c r="M35" i="58" s="1"/>
  <c r="S35" i="58" s="1"/>
  <c r="H35" i="45"/>
  <c r="M35" i="45" s="1"/>
  <c r="S35" i="45" s="1"/>
  <c r="H35" i="41"/>
  <c r="M35" i="41" s="1"/>
  <c r="S35" i="41" s="1"/>
  <c r="H35" i="37"/>
  <c r="M35" i="37" s="1"/>
  <c r="S35" i="37" s="1"/>
  <c r="H35" i="44"/>
  <c r="M35" i="44" s="1"/>
  <c r="S35" i="44" s="1"/>
  <c r="H35" i="85"/>
  <c r="M35" i="85" s="1"/>
  <c r="S35" i="85" s="1"/>
  <c r="H35" i="46"/>
  <c r="M35" i="46" s="1"/>
  <c r="S35" i="46" s="1"/>
  <c r="H35" i="72"/>
  <c r="M35" i="72" s="1"/>
  <c r="S35" i="72" s="1"/>
  <c r="H31" i="78"/>
  <c r="M31" i="78" s="1"/>
  <c r="S31" i="78" s="1"/>
  <c r="H31" i="72"/>
  <c r="M31" i="72" s="1"/>
  <c r="S31" i="72" s="1"/>
  <c r="H31" i="85"/>
  <c r="M31" i="85" s="1"/>
  <c r="S31" i="85" s="1"/>
  <c r="H31" i="44"/>
  <c r="M31" i="44" s="1"/>
  <c r="S31" i="44" s="1"/>
  <c r="H31" i="58"/>
  <c r="M31" i="58" s="1"/>
  <c r="S31" i="58" s="1"/>
  <c r="H31" i="37"/>
  <c r="M31" i="37" s="1"/>
  <c r="S31" i="37" s="1"/>
  <c r="H31" i="45"/>
  <c r="M31" i="45" s="1"/>
  <c r="S31" i="45" s="1"/>
  <c r="H31" i="41"/>
  <c r="M31" i="41" s="1"/>
  <c r="S31" i="41" s="1"/>
  <c r="H31" i="46"/>
  <c r="M31" i="46" s="1"/>
  <c r="S31" i="46" s="1"/>
  <c r="D24" i="78"/>
  <c r="I24" i="78" s="1"/>
  <c r="O24" i="78" s="1"/>
  <c r="T24" i="78" s="1"/>
  <c r="D24" i="72"/>
  <c r="I24" i="72" s="1"/>
  <c r="O24" i="72" s="1"/>
  <c r="T24" i="72" s="1"/>
  <c r="D24" i="85"/>
  <c r="I24" i="85" s="1"/>
  <c r="O24" i="85" s="1"/>
  <c r="T24" i="85" s="1"/>
  <c r="D24" i="46"/>
  <c r="I24" i="46" s="1"/>
  <c r="O24" i="46" s="1"/>
  <c r="T24" i="46" s="1"/>
  <c r="D24" i="44"/>
  <c r="I24" i="44" s="1"/>
  <c r="O24" i="44" s="1"/>
  <c r="T24" i="44" s="1"/>
  <c r="D24" i="58"/>
  <c r="I24" i="58" s="1"/>
  <c r="O24" i="58" s="1"/>
  <c r="T24" i="58" s="1"/>
  <c r="D24" i="37"/>
  <c r="I24" i="37" s="1"/>
  <c r="O24" i="37" s="1"/>
  <c r="T24" i="37" s="1"/>
  <c r="D24" i="41"/>
  <c r="I24" i="41" s="1"/>
  <c r="O24" i="41" s="1"/>
  <c r="T24" i="41" s="1"/>
  <c r="D24" i="45"/>
  <c r="I24" i="45" s="1"/>
  <c r="O24" i="45" s="1"/>
  <c r="T24" i="45" s="1"/>
  <c r="H26" i="78"/>
  <c r="M26" i="78" s="1"/>
  <c r="S26" i="78" s="1"/>
  <c r="H26" i="37"/>
  <c r="M26" i="37" s="1"/>
  <c r="S26" i="37" s="1"/>
  <c r="H26" i="41"/>
  <c r="M26" i="41" s="1"/>
  <c r="S26" i="41" s="1"/>
  <c r="H26" i="46"/>
  <c r="M26" i="46" s="1"/>
  <c r="S26" i="46" s="1"/>
  <c r="H26" i="44"/>
  <c r="M26" i="44" s="1"/>
  <c r="S26" i="44" s="1"/>
  <c r="H26" i="72"/>
  <c r="M26" i="72" s="1"/>
  <c r="S26" i="72" s="1"/>
  <c r="H26" i="85"/>
  <c r="M26" i="85" s="1"/>
  <c r="S26" i="85" s="1"/>
  <c r="H26" i="45"/>
  <c r="M26" i="45" s="1"/>
  <c r="S26" i="45" s="1"/>
  <c r="H26" i="58"/>
  <c r="M26" i="58" s="1"/>
  <c r="S26" i="58" s="1"/>
  <c r="G26" i="78"/>
  <c r="L26" i="78" s="1"/>
  <c r="R26" i="78" s="1"/>
  <c r="G26" i="46"/>
  <c r="L26" i="46" s="1"/>
  <c r="R26" i="46" s="1"/>
  <c r="G26" i="58"/>
  <c r="L26" i="58" s="1"/>
  <c r="R26" i="58" s="1"/>
  <c r="G26" i="45"/>
  <c r="L26" i="45" s="1"/>
  <c r="R26" i="45" s="1"/>
  <c r="G26" i="72"/>
  <c r="L26" i="72" s="1"/>
  <c r="R26" i="72" s="1"/>
  <c r="G26" i="85"/>
  <c r="L26" i="85" s="1"/>
  <c r="R26" i="85" s="1"/>
  <c r="G26" i="44"/>
  <c r="L26" i="44" s="1"/>
  <c r="R26" i="44" s="1"/>
  <c r="G26" i="37"/>
  <c r="L26" i="37" s="1"/>
  <c r="R26" i="37" s="1"/>
  <c r="G26" i="41"/>
  <c r="L26" i="41" s="1"/>
  <c r="R26" i="41" s="1"/>
  <c r="T9" i="78"/>
  <c r="F24" i="78"/>
  <c r="K24" i="78" s="1"/>
  <c r="Q24" i="78" s="1"/>
  <c r="F24" i="46"/>
  <c r="K24" i="46" s="1"/>
  <c r="Q24" i="46" s="1"/>
  <c r="F24" i="58"/>
  <c r="K24" i="58" s="1"/>
  <c r="Q24" i="58" s="1"/>
  <c r="F24" i="45"/>
  <c r="K24" i="45" s="1"/>
  <c r="Q24" i="45" s="1"/>
  <c r="F24" i="41"/>
  <c r="K24" i="41" s="1"/>
  <c r="Q24" i="41" s="1"/>
  <c r="F24" i="85"/>
  <c r="K24" i="85" s="1"/>
  <c r="Q24" i="85" s="1"/>
  <c r="F24" i="37"/>
  <c r="K24" i="37" s="1"/>
  <c r="Q24" i="37" s="1"/>
  <c r="F24" i="72"/>
  <c r="K24" i="72" s="1"/>
  <c r="Q24" i="72" s="1"/>
  <c r="F24" i="44"/>
  <c r="K24" i="44" s="1"/>
  <c r="Q24" i="44" s="1"/>
  <c r="AA22" i="7"/>
  <c r="AK22" i="7" s="1"/>
  <c r="AP22" i="7" s="1"/>
  <c r="E31" i="78"/>
  <c r="J31" i="78" s="1"/>
  <c r="P31" i="78" s="1"/>
  <c r="E31" i="46"/>
  <c r="J31" i="46" s="1"/>
  <c r="P31" i="46" s="1"/>
  <c r="E31" i="58"/>
  <c r="J31" i="58" s="1"/>
  <c r="P31" i="58" s="1"/>
  <c r="E31" i="45"/>
  <c r="J31" i="45" s="1"/>
  <c r="P31" i="45" s="1"/>
  <c r="E31" i="72"/>
  <c r="J31" i="72" s="1"/>
  <c r="P31" i="72" s="1"/>
  <c r="E31" i="85"/>
  <c r="J31" i="85" s="1"/>
  <c r="P31" i="85" s="1"/>
  <c r="E31" i="37"/>
  <c r="J31" i="37" s="1"/>
  <c r="P31" i="37" s="1"/>
  <c r="E31" i="41"/>
  <c r="J31" i="41" s="1"/>
  <c r="P31" i="41" s="1"/>
  <c r="E31" i="44"/>
  <c r="J31" i="44" s="1"/>
  <c r="P31" i="44" s="1"/>
  <c r="F10" i="78"/>
  <c r="K10" i="78" s="1"/>
  <c r="Q10" i="78" s="1"/>
  <c r="F10" i="41"/>
  <c r="K10" i="41" s="1"/>
  <c r="Q10" i="41" s="1"/>
  <c r="F10" i="72"/>
  <c r="K10" i="72" s="1"/>
  <c r="Q10" i="72" s="1"/>
  <c r="F10" i="85"/>
  <c r="K10" i="85" s="1"/>
  <c r="Q10" i="85" s="1"/>
  <c r="F10" i="58"/>
  <c r="K10" i="58" s="1"/>
  <c r="Q10" i="58" s="1"/>
  <c r="F10" i="45"/>
  <c r="K10" i="45" s="1"/>
  <c r="Q10" i="45" s="1"/>
  <c r="F10" i="37"/>
  <c r="K10" i="37" s="1"/>
  <c r="Q10" i="37" s="1"/>
  <c r="F10" i="44"/>
  <c r="K10" i="44" s="1"/>
  <c r="Q10" i="44" s="1"/>
  <c r="F10" i="46"/>
  <c r="K10" i="46" s="1"/>
  <c r="Q10" i="46" s="1"/>
  <c r="D33" i="78"/>
  <c r="I33" i="78" s="1"/>
  <c r="O33" i="78" s="1"/>
  <c r="T33" i="78" s="1"/>
  <c r="D33" i="37"/>
  <c r="I33" i="37" s="1"/>
  <c r="O33" i="37" s="1"/>
  <c r="T33" i="37" s="1"/>
  <c r="D33" i="41"/>
  <c r="I33" i="41" s="1"/>
  <c r="O33" i="41" s="1"/>
  <c r="T33" i="41" s="1"/>
  <c r="D33" i="45"/>
  <c r="I33" i="45" s="1"/>
  <c r="O33" i="45" s="1"/>
  <c r="T33" i="45" s="1"/>
  <c r="D33" i="46"/>
  <c r="I33" i="46" s="1"/>
  <c r="O33" i="46" s="1"/>
  <c r="T33" i="46" s="1"/>
  <c r="D33" i="72"/>
  <c r="I33" i="72" s="1"/>
  <c r="O33" i="72" s="1"/>
  <c r="T33" i="72" s="1"/>
  <c r="D33" i="44"/>
  <c r="I33" i="44" s="1"/>
  <c r="O33" i="44" s="1"/>
  <c r="T33" i="44" s="1"/>
  <c r="D33" i="85"/>
  <c r="I33" i="85" s="1"/>
  <c r="O33" i="85" s="1"/>
  <c r="T33" i="85" s="1"/>
  <c r="D33" i="58"/>
  <c r="I33" i="58" s="1"/>
  <c r="O33" i="58" s="1"/>
  <c r="T33" i="58" s="1"/>
  <c r="Y31" i="7"/>
  <c r="AI31" i="7" s="1"/>
  <c r="AN31" i="7" s="1"/>
  <c r="F31" i="78"/>
  <c r="K31" i="78" s="1"/>
  <c r="Q31" i="78" s="1"/>
  <c r="F31" i="37"/>
  <c r="K31" i="37" s="1"/>
  <c r="Q31" i="37" s="1"/>
  <c r="F31" i="41"/>
  <c r="K31" i="41" s="1"/>
  <c r="Q31" i="41" s="1"/>
  <c r="F31" i="44"/>
  <c r="K31" i="44" s="1"/>
  <c r="Q31" i="44" s="1"/>
  <c r="F31" i="72"/>
  <c r="K31" i="72" s="1"/>
  <c r="Q31" i="72" s="1"/>
  <c r="F31" i="46"/>
  <c r="K31" i="46" s="1"/>
  <c r="Q31" i="46" s="1"/>
  <c r="F31" i="58"/>
  <c r="K31" i="58" s="1"/>
  <c r="Q31" i="58" s="1"/>
  <c r="F31" i="85"/>
  <c r="K31" i="85" s="1"/>
  <c r="Q31" i="85" s="1"/>
  <c r="F31" i="45"/>
  <c r="K31" i="45" s="1"/>
  <c r="Q31" i="45" s="1"/>
  <c r="AA21" i="7"/>
  <c r="AK21" i="7" s="1"/>
  <c r="AP21" i="7" s="1"/>
  <c r="AB27" i="51"/>
  <c r="AL27" i="51" s="1"/>
  <c r="AQ27" i="51" s="1"/>
  <c r="E27" i="78"/>
  <c r="J27" i="78" s="1"/>
  <c r="P27" i="78" s="1"/>
  <c r="E27" i="37"/>
  <c r="J27" i="37" s="1"/>
  <c r="P27" i="37" s="1"/>
  <c r="E27" i="41"/>
  <c r="J27" i="41" s="1"/>
  <c r="P27" i="41" s="1"/>
  <c r="E27" i="46"/>
  <c r="J27" i="46" s="1"/>
  <c r="P27" i="46" s="1"/>
  <c r="E27" i="44"/>
  <c r="J27" i="44" s="1"/>
  <c r="P27" i="44" s="1"/>
  <c r="E27" i="58"/>
  <c r="J27" i="58" s="1"/>
  <c r="P27" i="58" s="1"/>
  <c r="E27" i="45"/>
  <c r="J27" i="45" s="1"/>
  <c r="P27" i="45" s="1"/>
  <c r="E27" i="85"/>
  <c r="J27" i="85" s="1"/>
  <c r="P27" i="85" s="1"/>
  <c r="E27" i="72"/>
  <c r="J27" i="72" s="1"/>
  <c r="P27" i="72" s="1"/>
  <c r="AA24" i="7"/>
  <c r="AK24" i="7" s="1"/>
  <c r="AP24" i="7" s="1"/>
  <c r="Z28" i="7"/>
  <c r="AJ28" i="7" s="1"/>
  <c r="AO28" i="7" s="1"/>
  <c r="E29" i="37" s="1"/>
  <c r="D163" i="83"/>
  <c r="D157" i="83"/>
  <c r="D159" i="83"/>
  <c r="D161" i="83" s="1"/>
  <c r="Y28" i="7"/>
  <c r="AI28" i="7" s="1"/>
  <c r="AN28" i="7" s="1"/>
  <c r="D29" i="37" s="1"/>
  <c r="F27" i="78"/>
  <c r="K27" i="78" s="1"/>
  <c r="Q27" i="78" s="1"/>
  <c r="F27" i="37"/>
  <c r="K27" i="37" s="1"/>
  <c r="Q27" i="37" s="1"/>
  <c r="F27" i="41"/>
  <c r="K27" i="41" s="1"/>
  <c r="Q27" i="41" s="1"/>
  <c r="F27" i="72"/>
  <c r="K27" i="72" s="1"/>
  <c r="Q27" i="72" s="1"/>
  <c r="F27" i="85"/>
  <c r="K27" i="85" s="1"/>
  <c r="Q27" i="85" s="1"/>
  <c r="F27" i="58"/>
  <c r="K27" i="58" s="1"/>
  <c r="Q27" i="58" s="1"/>
  <c r="F27" i="45"/>
  <c r="K27" i="45" s="1"/>
  <c r="Q27" i="45" s="1"/>
  <c r="F27" i="46"/>
  <c r="K27" i="46" s="1"/>
  <c r="Q27" i="46" s="1"/>
  <c r="F27" i="44"/>
  <c r="K27" i="44" s="1"/>
  <c r="Q27" i="44" s="1"/>
  <c r="F5" i="78"/>
  <c r="K5" i="78" s="1"/>
  <c r="Q5" i="78" s="1"/>
  <c r="F5" i="41"/>
  <c r="K5" i="41" s="1"/>
  <c r="Q5" i="41" s="1"/>
  <c r="F5" i="58"/>
  <c r="K5" i="58" s="1"/>
  <c r="Q5" i="58" s="1"/>
  <c r="F5" i="37"/>
  <c r="K5" i="37" s="1"/>
  <c r="Q5" i="37" s="1"/>
  <c r="F5" i="85"/>
  <c r="K5" i="85" s="1"/>
  <c r="Q5" i="85" s="1"/>
  <c r="F5" i="45"/>
  <c r="K5" i="45" s="1"/>
  <c r="Q5" i="45" s="1"/>
  <c r="F5" i="44"/>
  <c r="K5" i="44" s="1"/>
  <c r="Q5" i="44" s="1"/>
  <c r="F5" i="72"/>
  <c r="K5" i="72" s="1"/>
  <c r="Q5" i="72" s="1"/>
  <c r="F5" i="46"/>
  <c r="K5" i="46" s="1"/>
  <c r="Q5" i="46" s="1"/>
  <c r="Y31" i="51"/>
  <c r="AI31" i="51" s="1"/>
  <c r="AN31" i="51" s="1"/>
  <c r="AB24" i="7"/>
  <c r="AL24" i="7" s="1"/>
  <c r="AQ24" i="7" s="1"/>
  <c r="AC28" i="7"/>
  <c r="AM28" i="7" s="1"/>
  <c r="AR28" i="7" s="1"/>
  <c r="H29" i="37" s="1"/>
  <c r="G35" i="78"/>
  <c r="L35" i="78" s="1"/>
  <c r="R35" i="78" s="1"/>
  <c r="G35" i="37"/>
  <c r="L35" i="37" s="1"/>
  <c r="R35" i="37" s="1"/>
  <c r="G35" i="72"/>
  <c r="L35" i="72" s="1"/>
  <c r="R35" i="72" s="1"/>
  <c r="G35" i="85"/>
  <c r="L35" i="85" s="1"/>
  <c r="R35" i="85" s="1"/>
  <c r="G35" i="46"/>
  <c r="L35" i="46" s="1"/>
  <c r="R35" i="46" s="1"/>
  <c r="G35" i="45"/>
  <c r="L35" i="45" s="1"/>
  <c r="R35" i="45" s="1"/>
  <c r="G35" i="58"/>
  <c r="L35" i="58" s="1"/>
  <c r="R35" i="58" s="1"/>
  <c r="G35" i="44"/>
  <c r="L35" i="44" s="1"/>
  <c r="R35" i="44" s="1"/>
  <c r="G35" i="41"/>
  <c r="L35" i="41" s="1"/>
  <c r="R35" i="41" s="1"/>
  <c r="AC31" i="7"/>
  <c r="AM31" i="7" s="1"/>
  <c r="AR31" i="7" s="1"/>
  <c r="AA30" i="51"/>
  <c r="AK30" i="51" s="1"/>
  <c r="AP30" i="51" s="1"/>
  <c r="AA20" i="7"/>
  <c r="AK20" i="7" s="1"/>
  <c r="AP20" i="7" s="1"/>
  <c r="G31" i="78"/>
  <c r="L31" i="78" s="1"/>
  <c r="R31" i="78" s="1"/>
  <c r="G31" i="44"/>
  <c r="L31" i="44" s="1"/>
  <c r="R31" i="44" s="1"/>
  <c r="G31" i="58"/>
  <c r="L31" i="58" s="1"/>
  <c r="R31" i="58" s="1"/>
  <c r="G31" i="45"/>
  <c r="L31" i="45" s="1"/>
  <c r="R31" i="45" s="1"/>
  <c r="G31" i="37"/>
  <c r="L31" i="37" s="1"/>
  <c r="R31" i="37" s="1"/>
  <c r="G31" i="46"/>
  <c r="L31" i="46" s="1"/>
  <c r="R31" i="46" s="1"/>
  <c r="G31" i="85"/>
  <c r="L31" i="85" s="1"/>
  <c r="R31" i="85" s="1"/>
  <c r="G31" i="41"/>
  <c r="L31" i="41" s="1"/>
  <c r="R31" i="41" s="1"/>
  <c r="G31" i="72"/>
  <c r="L31" i="72" s="1"/>
  <c r="R31" i="72" s="1"/>
  <c r="H5" i="78"/>
  <c r="M5" i="78" s="1"/>
  <c r="S5" i="78" s="1"/>
  <c r="H5" i="37"/>
  <c r="M5" i="37" s="1"/>
  <c r="S5" i="37" s="1"/>
  <c r="H5" i="58"/>
  <c r="M5" i="58" s="1"/>
  <c r="S5" i="58" s="1"/>
  <c r="H5" i="45"/>
  <c r="M5" i="45" s="1"/>
  <c r="S5" i="45" s="1"/>
  <c r="H5" i="44"/>
  <c r="M5" i="44" s="1"/>
  <c r="S5" i="44" s="1"/>
  <c r="H5" i="46"/>
  <c r="M5" i="46" s="1"/>
  <c r="S5" i="46" s="1"/>
  <c r="H5" i="72"/>
  <c r="M5" i="72" s="1"/>
  <c r="S5" i="72" s="1"/>
  <c r="H5" i="41"/>
  <c r="M5" i="41" s="1"/>
  <c r="S5" i="41" s="1"/>
  <c r="H5" i="85"/>
  <c r="M5" i="85" s="1"/>
  <c r="S5" i="85" s="1"/>
  <c r="H10" i="78"/>
  <c r="M10" i="78" s="1"/>
  <c r="S10" i="78" s="1"/>
  <c r="H10" i="41"/>
  <c r="M10" i="41" s="1"/>
  <c r="S10" i="41" s="1"/>
  <c r="H10" i="46"/>
  <c r="M10" i="46" s="1"/>
  <c r="S10" i="46" s="1"/>
  <c r="H10" i="44"/>
  <c r="M10" i="44" s="1"/>
  <c r="S10" i="44" s="1"/>
  <c r="H10" i="37"/>
  <c r="M10" i="37" s="1"/>
  <c r="S10" i="37" s="1"/>
  <c r="H10" i="72"/>
  <c r="M10" i="72" s="1"/>
  <c r="S10" i="72" s="1"/>
  <c r="H10" i="85"/>
  <c r="M10" i="85" s="1"/>
  <c r="S10" i="85" s="1"/>
  <c r="H10" i="45"/>
  <c r="M10" i="45" s="1"/>
  <c r="S10" i="45" s="1"/>
  <c r="H10" i="58"/>
  <c r="M10" i="58" s="1"/>
  <c r="S10" i="58" s="1"/>
  <c r="D35" i="78"/>
  <c r="I35" i="78" s="1"/>
  <c r="O35" i="78" s="1"/>
  <c r="T35" i="78" s="1"/>
  <c r="D35" i="72"/>
  <c r="I35" i="72" s="1"/>
  <c r="O35" i="72" s="1"/>
  <c r="T35" i="72" s="1"/>
  <c r="D35" i="85"/>
  <c r="I35" i="85" s="1"/>
  <c r="O35" i="85" s="1"/>
  <c r="T35" i="85" s="1"/>
  <c r="D35" i="41"/>
  <c r="I35" i="41" s="1"/>
  <c r="O35" i="41" s="1"/>
  <c r="T35" i="41" s="1"/>
  <c r="D35" i="46"/>
  <c r="I35" i="46" s="1"/>
  <c r="O35" i="46" s="1"/>
  <c r="T35" i="46" s="1"/>
  <c r="D35" i="44"/>
  <c r="I35" i="44" s="1"/>
  <c r="O35" i="44" s="1"/>
  <c r="T35" i="44" s="1"/>
  <c r="D35" i="37"/>
  <c r="I35" i="37" s="1"/>
  <c r="O35" i="37" s="1"/>
  <c r="T35" i="37" s="1"/>
  <c r="D35" i="58"/>
  <c r="I35" i="58" s="1"/>
  <c r="O35" i="58" s="1"/>
  <c r="T35" i="58" s="1"/>
  <c r="D35" i="45"/>
  <c r="I35" i="45" s="1"/>
  <c r="O35" i="45" s="1"/>
  <c r="T35" i="45" s="1"/>
  <c r="H7" i="78"/>
  <c r="M7" i="78" s="1"/>
  <c r="S7" i="78" s="1"/>
  <c r="H7" i="58"/>
  <c r="M7" i="58" s="1"/>
  <c r="S7" i="58" s="1"/>
  <c r="H7" i="45"/>
  <c r="M7" i="45" s="1"/>
  <c r="S7" i="45" s="1"/>
  <c r="H7" i="37"/>
  <c r="M7" i="37" s="1"/>
  <c r="S7" i="37" s="1"/>
  <c r="H7" i="46"/>
  <c r="M7" i="46" s="1"/>
  <c r="S7" i="46" s="1"/>
  <c r="H7" i="72"/>
  <c r="M7" i="72" s="1"/>
  <c r="S7" i="72" s="1"/>
  <c r="H7" i="41"/>
  <c r="M7" i="41" s="1"/>
  <c r="S7" i="41" s="1"/>
  <c r="H7" i="44"/>
  <c r="M7" i="44" s="1"/>
  <c r="S7" i="44" s="1"/>
  <c r="H7" i="85"/>
  <c r="M7" i="85" s="1"/>
  <c r="S7" i="85" s="1"/>
  <c r="E26" i="78"/>
  <c r="J26" i="78" s="1"/>
  <c r="P26" i="78" s="1"/>
  <c r="E26" i="72"/>
  <c r="J26" i="72" s="1"/>
  <c r="P26" i="72" s="1"/>
  <c r="E26" i="85"/>
  <c r="J26" i="85" s="1"/>
  <c r="P26" i="85" s="1"/>
  <c r="E26" i="46"/>
  <c r="J26" i="46" s="1"/>
  <c r="P26" i="46" s="1"/>
  <c r="E26" i="37"/>
  <c r="J26" i="37" s="1"/>
  <c r="P26" i="37" s="1"/>
  <c r="E26" i="58"/>
  <c r="J26" i="58" s="1"/>
  <c r="P26" i="58" s="1"/>
  <c r="E26" i="44"/>
  <c r="J26" i="44" s="1"/>
  <c r="P26" i="44" s="1"/>
  <c r="E26" i="45"/>
  <c r="J26" i="45" s="1"/>
  <c r="P26" i="45" s="1"/>
  <c r="E26" i="41"/>
  <c r="J26" i="41" s="1"/>
  <c r="P26" i="41" s="1"/>
  <c r="H27" i="78"/>
  <c r="M27" i="78" s="1"/>
  <c r="S27" i="78" s="1"/>
  <c r="H27" i="41"/>
  <c r="M27" i="41" s="1"/>
  <c r="S27" i="41" s="1"/>
  <c r="H27" i="37"/>
  <c r="M27" i="37" s="1"/>
  <c r="S27" i="37" s="1"/>
  <c r="H27" i="46"/>
  <c r="M27" i="46" s="1"/>
  <c r="S27" i="46" s="1"/>
  <c r="H27" i="44"/>
  <c r="M27" i="44" s="1"/>
  <c r="S27" i="44" s="1"/>
  <c r="H27" i="72"/>
  <c r="M27" i="72" s="1"/>
  <c r="S27" i="72" s="1"/>
  <c r="H27" i="85"/>
  <c r="M27" i="85" s="1"/>
  <c r="S27" i="85" s="1"/>
  <c r="H27" i="45"/>
  <c r="M27" i="45" s="1"/>
  <c r="S27" i="45" s="1"/>
  <c r="H27" i="58"/>
  <c r="M27" i="58" s="1"/>
  <c r="S27" i="58" s="1"/>
  <c r="AA19" i="51"/>
  <c r="AK19" i="51" s="1"/>
  <c r="AP19" i="51" s="1"/>
  <c r="H17" i="78"/>
  <c r="M17" i="78" s="1"/>
  <c r="S17" i="78" s="1"/>
  <c r="H17" i="72"/>
  <c r="M17" i="72" s="1"/>
  <c r="S17" i="72" s="1"/>
  <c r="H17" i="85"/>
  <c r="M17" i="85" s="1"/>
  <c r="S17" i="85" s="1"/>
  <c r="H17" i="46"/>
  <c r="M17" i="46" s="1"/>
  <c r="S17" i="46" s="1"/>
  <c r="H17" i="37"/>
  <c r="M17" i="37" s="1"/>
  <c r="S17" i="37" s="1"/>
  <c r="H17" i="45"/>
  <c r="M17" i="45" s="1"/>
  <c r="S17" i="45" s="1"/>
  <c r="H17" i="58"/>
  <c r="M17" i="58" s="1"/>
  <c r="S17" i="58" s="1"/>
  <c r="H17" i="41"/>
  <c r="M17" i="41" s="1"/>
  <c r="S17" i="41" s="1"/>
  <c r="H17" i="44"/>
  <c r="M17" i="44" s="1"/>
  <c r="S17" i="44" s="1"/>
  <c r="G33" i="78"/>
  <c r="L33" i="78" s="1"/>
  <c r="R33" i="78" s="1"/>
  <c r="G33" i="41"/>
  <c r="L33" i="41" s="1"/>
  <c r="R33" i="41" s="1"/>
  <c r="G33" i="37"/>
  <c r="L33" i="37" s="1"/>
  <c r="R33" i="37" s="1"/>
  <c r="G33" i="72"/>
  <c r="L33" i="72" s="1"/>
  <c r="R33" i="72" s="1"/>
  <c r="G33" i="85"/>
  <c r="L33" i="85" s="1"/>
  <c r="R33" i="85" s="1"/>
  <c r="G33" i="58"/>
  <c r="L33" i="58" s="1"/>
  <c r="R33" i="58" s="1"/>
  <c r="G33" i="45"/>
  <c r="L33" i="45" s="1"/>
  <c r="R33" i="45" s="1"/>
  <c r="G33" i="44"/>
  <c r="L33" i="44" s="1"/>
  <c r="R33" i="44" s="1"/>
  <c r="G33" i="46"/>
  <c r="L33" i="46" s="1"/>
  <c r="R33" i="46" s="1"/>
  <c r="E16" i="78"/>
  <c r="J16" i="78" s="1"/>
  <c r="P16" i="78" s="1"/>
  <c r="E16" i="44"/>
  <c r="J16" i="44" s="1"/>
  <c r="P16" i="44" s="1"/>
  <c r="E16" i="58"/>
  <c r="J16" i="58" s="1"/>
  <c r="P16" i="58" s="1"/>
  <c r="E16" i="45"/>
  <c r="J16" i="45" s="1"/>
  <c r="P16" i="45" s="1"/>
  <c r="E16" i="37"/>
  <c r="J16" i="37" s="1"/>
  <c r="P16" i="37" s="1"/>
  <c r="E16" i="46"/>
  <c r="J16" i="46" s="1"/>
  <c r="P16" i="46" s="1"/>
  <c r="E16" i="72"/>
  <c r="J16" i="72" s="1"/>
  <c r="P16" i="72" s="1"/>
  <c r="E16" i="41"/>
  <c r="J16" i="41" s="1"/>
  <c r="P16" i="41" s="1"/>
  <c r="E16" i="85"/>
  <c r="J16" i="85" s="1"/>
  <c r="P16" i="85" s="1"/>
  <c r="G7" i="37"/>
  <c r="L7" i="37" s="1"/>
  <c r="R7" i="37" s="1"/>
  <c r="G7" i="46"/>
  <c r="L7" i="46" s="1"/>
  <c r="R7" i="46" s="1"/>
  <c r="G7" i="41"/>
  <c r="L7" i="41" s="1"/>
  <c r="R7" i="41" s="1"/>
  <c r="G7" i="45"/>
  <c r="L7" i="45" s="1"/>
  <c r="R7" i="45" s="1"/>
  <c r="G7" i="78"/>
  <c r="L7" i="78" s="1"/>
  <c r="R7" i="78" s="1"/>
  <c r="G7" i="58"/>
  <c r="L7" i="58" s="1"/>
  <c r="R7" i="58" s="1"/>
  <c r="G7" i="44"/>
  <c r="L7" i="44" s="1"/>
  <c r="R7" i="44" s="1"/>
  <c r="G7" i="72"/>
  <c r="L7" i="72" s="1"/>
  <c r="R7" i="72" s="1"/>
  <c r="G7" i="85"/>
  <c r="L7" i="85" s="1"/>
  <c r="R7" i="85" s="1"/>
  <c r="E24" i="78"/>
  <c r="J24" i="78" s="1"/>
  <c r="P24" i="78" s="1"/>
  <c r="E24" i="41"/>
  <c r="J24" i="41" s="1"/>
  <c r="P24" i="41" s="1"/>
  <c r="E24" i="72"/>
  <c r="J24" i="72" s="1"/>
  <c r="P24" i="72" s="1"/>
  <c r="E24" i="85"/>
  <c r="J24" i="85" s="1"/>
  <c r="P24" i="85" s="1"/>
  <c r="E24" i="45"/>
  <c r="J24" i="45" s="1"/>
  <c r="P24" i="45" s="1"/>
  <c r="E24" i="58"/>
  <c r="J24" i="58" s="1"/>
  <c r="P24" i="58" s="1"/>
  <c r="E24" i="46"/>
  <c r="J24" i="46" s="1"/>
  <c r="P24" i="46" s="1"/>
  <c r="E24" i="37"/>
  <c r="J24" i="37" s="1"/>
  <c r="P24" i="37" s="1"/>
  <c r="E24" i="44"/>
  <c r="J24" i="44" s="1"/>
  <c r="P24" i="44" s="1"/>
  <c r="E33" i="44"/>
  <c r="J33" i="44" s="1"/>
  <c r="P33" i="44" s="1"/>
  <c r="E33" i="58"/>
  <c r="J33" i="58" s="1"/>
  <c r="P33" i="58" s="1"/>
  <c r="E33" i="45"/>
  <c r="J33" i="45" s="1"/>
  <c r="P33" i="45" s="1"/>
  <c r="E33" i="78"/>
  <c r="J33" i="78" s="1"/>
  <c r="P33" i="78" s="1"/>
  <c r="E33" i="37"/>
  <c r="J33" i="37" s="1"/>
  <c r="P33" i="37" s="1"/>
  <c r="E33" i="46"/>
  <c r="J33" i="46" s="1"/>
  <c r="P33" i="46" s="1"/>
  <c r="E33" i="72"/>
  <c r="J33" i="72" s="1"/>
  <c r="P33" i="72" s="1"/>
  <c r="E33" i="41"/>
  <c r="J33" i="41" s="1"/>
  <c r="P33" i="41" s="1"/>
  <c r="E33" i="85"/>
  <c r="J33" i="85" s="1"/>
  <c r="P33" i="85" s="1"/>
  <c r="AB21" i="7"/>
  <c r="AL21" i="7" s="1"/>
  <c r="AQ21" i="7" s="1"/>
  <c r="E17" i="78"/>
  <c r="J17" i="78" s="1"/>
  <c r="P17" i="78" s="1"/>
  <c r="E17" i="72"/>
  <c r="J17" i="72" s="1"/>
  <c r="P17" i="72" s="1"/>
  <c r="E17" i="85"/>
  <c r="J17" i="85" s="1"/>
  <c r="P17" i="85" s="1"/>
  <c r="E17" i="44"/>
  <c r="J17" i="44" s="1"/>
  <c r="P17" i="44" s="1"/>
  <c r="E17" i="41"/>
  <c r="J17" i="41" s="1"/>
  <c r="P17" i="41" s="1"/>
  <c r="E17" i="45"/>
  <c r="J17" i="45" s="1"/>
  <c r="P17" i="45" s="1"/>
  <c r="E17" i="46"/>
  <c r="J17" i="46" s="1"/>
  <c r="P17" i="46" s="1"/>
  <c r="E17" i="37"/>
  <c r="J17" i="37" s="1"/>
  <c r="P17" i="37" s="1"/>
  <c r="E17" i="58"/>
  <c r="J17" i="58" s="1"/>
  <c r="P17" i="58" s="1"/>
  <c r="AC31" i="51"/>
  <c r="AM31" i="51" s="1"/>
  <c r="AR31" i="51" s="1"/>
  <c r="X9" i="72" l="1"/>
  <c r="X9" i="37"/>
  <c r="X9" i="85"/>
  <c r="U9" i="46"/>
  <c r="X9" i="44"/>
  <c r="U27" i="58"/>
  <c r="U31" i="46"/>
  <c r="U33" i="78"/>
  <c r="U26" i="45"/>
  <c r="V24" i="45"/>
  <c r="W31" i="46"/>
  <c r="U27" i="37"/>
  <c r="V31" i="46"/>
  <c r="W31" i="45"/>
  <c r="W26" i="46"/>
  <c r="X31" i="46"/>
  <c r="W33" i="58"/>
  <c r="W33" i="85"/>
  <c r="V24" i="72"/>
  <c r="U27" i="41"/>
  <c r="X31" i="37"/>
  <c r="X35" i="46"/>
  <c r="X27" i="45"/>
  <c r="U26" i="41"/>
  <c r="U27" i="45"/>
  <c r="U33" i="85"/>
  <c r="U24" i="58"/>
  <c r="W26" i="41"/>
  <c r="U24" i="72"/>
  <c r="X27" i="85"/>
  <c r="V24" i="58"/>
  <c r="U26" i="78"/>
  <c r="W31" i="58"/>
  <c r="V24" i="44"/>
  <c r="V24" i="78"/>
  <c r="X26" i="78"/>
  <c r="W27" i="85"/>
  <c r="W27" i="44"/>
  <c r="X27" i="44"/>
  <c r="X27" i="78"/>
  <c r="U26" i="72"/>
  <c r="V27" i="44"/>
  <c r="V27" i="85"/>
  <c r="V27" i="78"/>
  <c r="U27" i="85"/>
  <c r="U31" i="37"/>
  <c r="W26" i="72"/>
  <c r="W26" i="78"/>
  <c r="X26" i="72"/>
  <c r="V33" i="46"/>
  <c r="V33" i="78"/>
  <c r="W27" i="78"/>
  <c r="U24" i="45"/>
  <c r="U24" i="78"/>
  <c r="U27" i="44"/>
  <c r="U27" i="78"/>
  <c r="AB27" i="78" s="1"/>
  <c r="X31" i="58"/>
  <c r="V26" i="72"/>
  <c r="V26" i="78"/>
  <c r="U33" i="46"/>
  <c r="U33" i="58"/>
  <c r="W33" i="46"/>
  <c r="W33" i="78"/>
  <c r="V24" i="85"/>
  <c r="W26" i="85"/>
  <c r="X26" i="85"/>
  <c r="X26" i="41"/>
  <c r="X31" i="78"/>
  <c r="X35" i="45"/>
  <c r="X24" i="58"/>
  <c r="U24" i="37"/>
  <c r="U24" i="85"/>
  <c r="W31" i="72"/>
  <c r="W31" i="78"/>
  <c r="D17" i="78"/>
  <c r="I17" i="78" s="1"/>
  <c r="O17" i="78" s="1"/>
  <c r="U17" i="78" s="1"/>
  <c r="X31" i="72"/>
  <c r="X33" i="85"/>
  <c r="X33" i="46"/>
  <c r="V27" i="45"/>
  <c r="V27" i="41"/>
  <c r="U31" i="44"/>
  <c r="U31" i="72"/>
  <c r="U31" i="78"/>
  <c r="W24" i="45"/>
  <c r="V27" i="46"/>
  <c r="W26" i="58"/>
  <c r="X26" i="46"/>
  <c r="V33" i="37"/>
  <c r="U35" i="44"/>
  <c r="W27" i="37"/>
  <c r="U33" i="41"/>
  <c r="W33" i="72"/>
  <c r="X27" i="46"/>
  <c r="U26" i="37"/>
  <c r="W31" i="85"/>
  <c r="W35" i="72"/>
  <c r="U27" i="46"/>
  <c r="V31" i="85"/>
  <c r="D17" i="37"/>
  <c r="I17" i="37" s="1"/>
  <c r="O17" i="37" s="1"/>
  <c r="V17" i="37" s="1"/>
  <c r="X26" i="58"/>
  <c r="X31" i="85"/>
  <c r="V33" i="72"/>
  <c r="W24" i="85"/>
  <c r="X33" i="37"/>
  <c r="W27" i="46"/>
  <c r="AK27" i="46" s="1"/>
  <c r="AM27" i="46" s="1"/>
  <c r="V35" i="85"/>
  <c r="V35" i="46"/>
  <c r="V26" i="46"/>
  <c r="V26" i="58"/>
  <c r="U35" i="72"/>
  <c r="W33" i="37"/>
  <c r="X27" i="37"/>
  <c r="U26" i="46"/>
  <c r="V31" i="41"/>
  <c r="U31" i="85"/>
  <c r="U35" i="85"/>
  <c r="U33" i="37"/>
  <c r="U24" i="46"/>
  <c r="U26" i="58"/>
  <c r="W31" i="41"/>
  <c r="W35" i="44"/>
  <c r="W35" i="85"/>
  <c r="V27" i="58"/>
  <c r="V27" i="37"/>
  <c r="V31" i="72"/>
  <c r="V31" i="78"/>
  <c r="U31" i="41"/>
  <c r="D17" i="72"/>
  <c r="I17" i="72" s="1"/>
  <c r="O17" i="72" s="1"/>
  <c r="U17" i="72" s="1"/>
  <c r="X31" i="41"/>
  <c r="W24" i="72"/>
  <c r="W24" i="37"/>
  <c r="X24" i="44"/>
  <c r="X24" i="78"/>
  <c r="X33" i="72"/>
  <c r="V35" i="44"/>
  <c r="D17" i="46"/>
  <c r="I17" i="46" s="1"/>
  <c r="O17" i="46" s="1"/>
  <c r="T17" i="46" s="1"/>
  <c r="D17" i="41"/>
  <c r="I17" i="41" s="1"/>
  <c r="O17" i="41" s="1"/>
  <c r="V17" i="41" s="1"/>
  <c r="D17" i="45"/>
  <c r="I17" i="45" s="1"/>
  <c r="O17" i="45" s="1"/>
  <c r="X17" i="45" s="1"/>
  <c r="D17" i="44"/>
  <c r="I17" i="44" s="1"/>
  <c r="O17" i="44" s="1"/>
  <c r="W17" i="44" s="1"/>
  <c r="D17" i="85"/>
  <c r="I17" i="85" s="1"/>
  <c r="O17" i="85" s="1"/>
  <c r="T17" i="85" s="1"/>
  <c r="U9" i="37"/>
  <c r="D16" i="72"/>
  <c r="I16" i="72" s="1"/>
  <c r="O16" i="72" s="1"/>
  <c r="W16" i="72" s="1"/>
  <c r="D16" i="78"/>
  <c r="I16" i="78" s="1"/>
  <c r="O16" i="78" s="1"/>
  <c r="Z16" i="78" s="1"/>
  <c r="W9" i="85"/>
  <c r="V9" i="85"/>
  <c r="U9" i="85"/>
  <c r="T9" i="85"/>
  <c r="D16" i="44"/>
  <c r="I16" i="44" s="1"/>
  <c r="O16" i="44" s="1"/>
  <c r="T16" i="44" s="1"/>
  <c r="D16" i="58"/>
  <c r="I16" i="58" s="1"/>
  <c r="O16" i="58" s="1"/>
  <c r="T16" i="58" s="1"/>
  <c r="D16" i="85"/>
  <c r="I16" i="85" s="1"/>
  <c r="O16" i="85" s="1"/>
  <c r="U16" i="85" s="1"/>
  <c r="D16" i="37"/>
  <c r="I16" i="37" s="1"/>
  <c r="O16" i="37" s="1"/>
  <c r="W16" i="37" s="1"/>
  <c r="D16" i="45"/>
  <c r="I16" i="45" s="1"/>
  <c r="O16" i="45" s="1"/>
  <c r="Z16" i="45" s="1"/>
  <c r="F7" i="37"/>
  <c r="K7" i="37" s="1"/>
  <c r="Q7" i="37" s="1"/>
  <c r="V7" i="37" s="1"/>
  <c r="F7" i="72"/>
  <c r="K7" i="72" s="1"/>
  <c r="Q7" i="72" s="1"/>
  <c r="Z7" i="72" s="1"/>
  <c r="D16" i="46"/>
  <c r="I16" i="46" s="1"/>
  <c r="O16" i="46" s="1"/>
  <c r="U16" i="46" s="1"/>
  <c r="F7" i="45"/>
  <c r="K7" i="45" s="1"/>
  <c r="Q7" i="45" s="1"/>
  <c r="V7" i="45" s="1"/>
  <c r="F7" i="58"/>
  <c r="K7" i="58" s="1"/>
  <c r="Q7" i="58" s="1"/>
  <c r="V7" i="58" s="1"/>
  <c r="F7" i="78"/>
  <c r="K7" i="78" s="1"/>
  <c r="Q7" i="78" s="1"/>
  <c r="Z7" i="78" s="1"/>
  <c r="V7" i="44"/>
  <c r="F7" i="41"/>
  <c r="K7" i="41" s="1"/>
  <c r="Q7" i="41" s="1"/>
  <c r="Z7" i="41" s="1"/>
  <c r="F7" i="85"/>
  <c r="K7" i="85" s="1"/>
  <c r="Q7" i="85" s="1"/>
  <c r="Z7" i="85" s="1"/>
  <c r="H8" i="46"/>
  <c r="M8" i="46" s="1"/>
  <c r="S8" i="46" s="1"/>
  <c r="X8" i="46" s="1"/>
  <c r="U9" i="58"/>
  <c r="F7" i="46"/>
  <c r="K7" i="46" s="1"/>
  <c r="Q7" i="46" s="1"/>
  <c r="Z7" i="46" s="1"/>
  <c r="V9" i="45"/>
  <c r="W7" i="78"/>
  <c r="H8" i="41"/>
  <c r="M8" i="41" s="1"/>
  <c r="S8" i="41" s="1"/>
  <c r="X8" i="41" s="1"/>
  <c r="V9" i="37"/>
  <c r="H8" i="72"/>
  <c r="M8" i="72" s="1"/>
  <c r="S8" i="72" s="1"/>
  <c r="X8" i="72" s="1"/>
  <c r="H8" i="58"/>
  <c r="M8" i="58" s="1"/>
  <c r="S8" i="58" s="1"/>
  <c r="X8" i="58" s="1"/>
  <c r="X9" i="45"/>
  <c r="W7" i="45"/>
  <c r="X7" i="78"/>
  <c r="H8" i="44"/>
  <c r="M8" i="44" s="1"/>
  <c r="S8" i="44" s="1"/>
  <c r="X8" i="44" s="1"/>
  <c r="H8" i="78"/>
  <c r="M8" i="78" s="1"/>
  <c r="S8" i="78" s="1"/>
  <c r="X8" i="78" s="1"/>
  <c r="W8" i="78"/>
  <c r="T9" i="44"/>
  <c r="H8" i="45"/>
  <c r="M8" i="45" s="1"/>
  <c r="S8" i="45" s="1"/>
  <c r="X8" i="45" s="1"/>
  <c r="H8" i="85"/>
  <c r="M8" i="85" s="1"/>
  <c r="S8" i="85" s="1"/>
  <c r="X8" i="85" s="1"/>
  <c r="X7" i="45"/>
  <c r="X7" i="37"/>
  <c r="V7" i="78"/>
  <c r="W9" i="37"/>
  <c r="T9" i="37"/>
  <c r="W9" i="44"/>
  <c r="U9" i="44"/>
  <c r="V9" i="44"/>
  <c r="X7" i="85"/>
  <c r="T9" i="45"/>
  <c r="U9" i="41"/>
  <c r="X10" i="58"/>
  <c r="V10" i="58"/>
  <c r="T9" i="41"/>
  <c r="T9" i="72"/>
  <c r="W9" i="46"/>
  <c r="V9" i="41"/>
  <c r="W9" i="45"/>
  <c r="W9" i="72"/>
  <c r="V9" i="58"/>
  <c r="U9" i="72"/>
  <c r="Z9" i="72"/>
  <c r="Y9" i="72" s="1"/>
  <c r="AG12" i="49" s="1"/>
  <c r="AH12" i="52" s="1"/>
  <c r="V9" i="46"/>
  <c r="X9" i="58"/>
  <c r="U17" i="58"/>
  <c r="T9" i="46"/>
  <c r="E18" i="45"/>
  <c r="J18" i="45" s="1"/>
  <c r="P18" i="45" s="1"/>
  <c r="U18" i="45" s="1"/>
  <c r="V9" i="72"/>
  <c r="X9" i="46"/>
  <c r="E18" i="44"/>
  <c r="J18" i="44" s="1"/>
  <c r="P18" i="44" s="1"/>
  <c r="U18" i="44" s="1"/>
  <c r="W9" i="41"/>
  <c r="V10" i="78"/>
  <c r="E18" i="85"/>
  <c r="J18" i="85" s="1"/>
  <c r="P18" i="85" s="1"/>
  <c r="U18" i="85" s="1"/>
  <c r="T9" i="58"/>
  <c r="X17" i="58"/>
  <c r="E18" i="72"/>
  <c r="J18" i="72" s="1"/>
  <c r="P18" i="72" s="1"/>
  <c r="U18" i="72" s="1"/>
  <c r="V8" i="45"/>
  <c r="X10" i="78"/>
  <c r="E18" i="58"/>
  <c r="J18" i="58" s="1"/>
  <c r="P18" i="58" s="1"/>
  <c r="Z18" i="58" s="1"/>
  <c r="U10" i="58"/>
  <c r="E18" i="37"/>
  <c r="J18" i="37" s="1"/>
  <c r="P18" i="37" s="1"/>
  <c r="U18" i="37" s="1"/>
  <c r="U8" i="78"/>
  <c r="X10" i="37"/>
  <c r="E18" i="41"/>
  <c r="J18" i="41" s="1"/>
  <c r="P18" i="41" s="1"/>
  <c r="U18" i="41" s="1"/>
  <c r="E18" i="46"/>
  <c r="J18" i="46" s="1"/>
  <c r="P18" i="46" s="1"/>
  <c r="Z18" i="46" s="1"/>
  <c r="W8" i="85"/>
  <c r="V10" i="45"/>
  <c r="U8" i="41"/>
  <c r="X5" i="58"/>
  <c r="X5" i="41"/>
  <c r="W8" i="41"/>
  <c r="U10" i="45"/>
  <c r="V8" i="78"/>
  <c r="U8" i="44"/>
  <c r="U8" i="85"/>
  <c r="X5" i="46"/>
  <c r="X10" i="72"/>
  <c r="W5" i="41"/>
  <c r="W18" i="78"/>
  <c r="V5" i="85"/>
  <c r="X10" i="41"/>
  <c r="X8" i="37"/>
  <c r="V10" i="41"/>
  <c r="W8" i="45"/>
  <c r="W10" i="72"/>
  <c r="W10" i="41"/>
  <c r="W8" i="44"/>
  <c r="V10" i="72"/>
  <c r="U10" i="41"/>
  <c r="W8" i="37"/>
  <c r="V18" i="37"/>
  <c r="W7" i="85"/>
  <c r="V5" i="46"/>
  <c r="X18" i="46"/>
  <c r="U7" i="37"/>
  <c r="V18" i="45"/>
  <c r="X7" i="58"/>
  <c r="X10" i="46"/>
  <c r="V5" i="41"/>
  <c r="W18" i="45"/>
  <c r="U5" i="85"/>
  <c r="X16" i="41"/>
  <c r="D13" i="46"/>
  <c r="I13" i="46" s="1"/>
  <c r="O13" i="46" s="1"/>
  <c r="D13" i="78"/>
  <c r="I13" i="78" s="1"/>
  <c r="O13" i="78" s="1"/>
  <c r="D13" i="44"/>
  <c r="I13" i="44" s="1"/>
  <c r="O13" i="44" s="1"/>
  <c r="D13" i="41"/>
  <c r="I13" i="41" s="1"/>
  <c r="O13" i="41" s="1"/>
  <c r="X13" i="41" s="1"/>
  <c r="D13" i="72"/>
  <c r="I13" i="72" s="1"/>
  <c r="O13" i="72" s="1"/>
  <c r="D13" i="85"/>
  <c r="I13" i="85" s="1"/>
  <c r="O13" i="85" s="1"/>
  <c r="D13" i="37"/>
  <c r="I13" i="37" s="1"/>
  <c r="O13" i="37" s="1"/>
  <c r="X13" i="37" s="1"/>
  <c r="D13" i="58"/>
  <c r="I13" i="58" s="1"/>
  <c r="O13" i="58" s="1"/>
  <c r="D13" i="45"/>
  <c r="I13" i="45" s="1"/>
  <c r="O13" i="45" s="1"/>
  <c r="W8" i="72"/>
  <c r="X18" i="45"/>
  <c r="W5" i="78"/>
  <c r="X7" i="44"/>
  <c r="V5" i="78"/>
  <c r="U5" i="78"/>
  <c r="U10" i="46"/>
  <c r="V8" i="46"/>
  <c r="U7" i="46"/>
  <c r="U8" i="37"/>
  <c r="V18" i="46"/>
  <c r="V10" i="46"/>
  <c r="W7" i="72"/>
  <c r="X7" i="72"/>
  <c r="X5" i="85"/>
  <c r="X5" i="78"/>
  <c r="W18" i="46"/>
  <c r="U5" i="45"/>
  <c r="W5" i="46"/>
  <c r="V8" i="41"/>
  <c r="W7" i="37"/>
  <c r="W10" i="78"/>
  <c r="U5" i="41"/>
  <c r="U18" i="78"/>
  <c r="D23" i="78"/>
  <c r="I23" i="78" s="1"/>
  <c r="O23" i="78" s="1"/>
  <c r="T23" i="78" s="1"/>
  <c r="D23" i="46"/>
  <c r="I23" i="46" s="1"/>
  <c r="O23" i="46" s="1"/>
  <c r="T23" i="46" s="1"/>
  <c r="D23" i="41"/>
  <c r="I23" i="41" s="1"/>
  <c r="O23" i="41" s="1"/>
  <c r="T23" i="41" s="1"/>
  <c r="D23" i="45"/>
  <c r="I23" i="45" s="1"/>
  <c r="O23" i="45" s="1"/>
  <c r="T23" i="45" s="1"/>
  <c r="D23" i="37"/>
  <c r="I23" i="37" s="1"/>
  <c r="O23" i="37" s="1"/>
  <c r="T23" i="37" s="1"/>
  <c r="D23" i="44"/>
  <c r="I23" i="44" s="1"/>
  <c r="O23" i="44" s="1"/>
  <c r="T23" i="44" s="1"/>
  <c r="D23" i="58"/>
  <c r="I23" i="58" s="1"/>
  <c r="O23" i="58" s="1"/>
  <c r="T23" i="58" s="1"/>
  <c r="D23" i="85"/>
  <c r="I23" i="85" s="1"/>
  <c r="O23" i="85" s="1"/>
  <c r="T23" i="85" s="1"/>
  <c r="D23" i="72"/>
  <c r="I23" i="72" s="1"/>
  <c r="O23" i="72" s="1"/>
  <c r="T23" i="72" s="1"/>
  <c r="D32" i="78"/>
  <c r="I32" i="78" s="1"/>
  <c r="O32" i="78" s="1"/>
  <c r="T32" i="78" s="1"/>
  <c r="D32" i="46"/>
  <c r="I32" i="46" s="1"/>
  <c r="O32" i="46" s="1"/>
  <c r="T32" i="46" s="1"/>
  <c r="D32" i="58"/>
  <c r="I32" i="58" s="1"/>
  <c r="O32" i="58" s="1"/>
  <c r="T32" i="58" s="1"/>
  <c r="D32" i="45"/>
  <c r="I32" i="45" s="1"/>
  <c r="O32" i="45" s="1"/>
  <c r="T32" i="45" s="1"/>
  <c r="D32" i="72"/>
  <c r="I32" i="72" s="1"/>
  <c r="O32" i="72" s="1"/>
  <c r="T32" i="72" s="1"/>
  <c r="D32" i="85"/>
  <c r="I32" i="85" s="1"/>
  <c r="O32" i="85" s="1"/>
  <c r="T32" i="85" s="1"/>
  <c r="D32" i="37"/>
  <c r="I32" i="37" s="1"/>
  <c r="O32" i="37" s="1"/>
  <c r="T32" i="37" s="1"/>
  <c r="D32" i="44"/>
  <c r="I32" i="44" s="1"/>
  <c r="O32" i="44" s="1"/>
  <c r="T32" i="44" s="1"/>
  <c r="D32" i="41"/>
  <c r="I32" i="41" s="1"/>
  <c r="O32" i="41" s="1"/>
  <c r="T32" i="41" s="1"/>
  <c r="H25" i="78"/>
  <c r="M25" i="78" s="1"/>
  <c r="S25" i="78" s="1"/>
  <c r="H25" i="37"/>
  <c r="M25" i="37" s="1"/>
  <c r="S25" i="37" s="1"/>
  <c r="H25" i="41"/>
  <c r="M25" i="41" s="1"/>
  <c r="S25" i="41" s="1"/>
  <c r="H25" i="72"/>
  <c r="M25" i="72" s="1"/>
  <c r="S25" i="72" s="1"/>
  <c r="H25" i="85"/>
  <c r="M25" i="85" s="1"/>
  <c r="S25" i="85" s="1"/>
  <c r="H25" i="46"/>
  <c r="M25" i="46" s="1"/>
  <c r="S25" i="46" s="1"/>
  <c r="H25" i="45"/>
  <c r="M25" i="45" s="1"/>
  <c r="S25" i="45" s="1"/>
  <c r="H25" i="44"/>
  <c r="M25" i="44" s="1"/>
  <c r="S25" i="44" s="1"/>
  <c r="H25" i="58"/>
  <c r="M25" i="58" s="1"/>
  <c r="S25" i="58" s="1"/>
  <c r="H15" i="78"/>
  <c r="M15" i="78" s="1"/>
  <c r="S15" i="78" s="1"/>
  <c r="H15" i="41"/>
  <c r="M15" i="41" s="1"/>
  <c r="S15" i="41" s="1"/>
  <c r="H15" i="37"/>
  <c r="M15" i="37" s="1"/>
  <c r="S15" i="37" s="1"/>
  <c r="H15" i="72"/>
  <c r="M15" i="72" s="1"/>
  <c r="S15" i="72" s="1"/>
  <c r="H15" i="85"/>
  <c r="M15" i="85" s="1"/>
  <c r="S15" i="85" s="1"/>
  <c r="H15" i="58"/>
  <c r="M15" i="58" s="1"/>
  <c r="S15" i="58" s="1"/>
  <c r="H15" i="45"/>
  <c r="M15" i="45" s="1"/>
  <c r="S15" i="45" s="1"/>
  <c r="H15" i="46"/>
  <c r="M15" i="46" s="1"/>
  <c r="S15" i="46" s="1"/>
  <c r="H15" i="44"/>
  <c r="M15" i="44" s="1"/>
  <c r="S15" i="44" s="1"/>
  <c r="F14" i="78"/>
  <c r="K14" i="78" s="1"/>
  <c r="Q14" i="78" s="1"/>
  <c r="F14" i="37"/>
  <c r="K14" i="37" s="1"/>
  <c r="Q14" i="37" s="1"/>
  <c r="F14" i="41"/>
  <c r="K14" i="41" s="1"/>
  <c r="Q14" i="41" s="1"/>
  <c r="F14" i="44"/>
  <c r="K14" i="44" s="1"/>
  <c r="Q14" i="44" s="1"/>
  <c r="F14" i="46"/>
  <c r="K14" i="46" s="1"/>
  <c r="Q14" i="46" s="1"/>
  <c r="F14" i="72"/>
  <c r="K14" i="72" s="1"/>
  <c r="Q14" i="72" s="1"/>
  <c r="F14" i="85"/>
  <c r="K14" i="85" s="1"/>
  <c r="Q14" i="85" s="1"/>
  <c r="F14" i="58"/>
  <c r="K14" i="58" s="1"/>
  <c r="Q14" i="58" s="1"/>
  <c r="F14" i="45"/>
  <c r="K14" i="45" s="1"/>
  <c r="Q14" i="45" s="1"/>
  <c r="G25" i="78"/>
  <c r="L25" i="78" s="1"/>
  <c r="R25" i="78" s="1"/>
  <c r="G25" i="37"/>
  <c r="L25" i="37" s="1"/>
  <c r="R25" i="37" s="1"/>
  <c r="G25" i="46"/>
  <c r="L25" i="46" s="1"/>
  <c r="R25" i="46" s="1"/>
  <c r="G25" i="41"/>
  <c r="L25" i="41" s="1"/>
  <c r="R25" i="41" s="1"/>
  <c r="G25" i="44"/>
  <c r="L25" i="44" s="1"/>
  <c r="R25" i="44" s="1"/>
  <c r="G25" i="85"/>
  <c r="L25" i="85" s="1"/>
  <c r="R25" i="85" s="1"/>
  <c r="G25" i="45"/>
  <c r="L25" i="45" s="1"/>
  <c r="R25" i="45" s="1"/>
  <c r="G25" i="72"/>
  <c r="L25" i="72" s="1"/>
  <c r="R25" i="72" s="1"/>
  <c r="G25" i="58"/>
  <c r="L25" i="58" s="1"/>
  <c r="R25" i="58" s="1"/>
  <c r="F25" i="78"/>
  <c r="K25" i="78" s="1"/>
  <c r="Q25" i="78" s="1"/>
  <c r="F25" i="58"/>
  <c r="K25" i="58" s="1"/>
  <c r="Q25" i="58" s="1"/>
  <c r="F25" i="72"/>
  <c r="K25" i="72" s="1"/>
  <c r="Q25" i="72" s="1"/>
  <c r="F25" i="85"/>
  <c r="K25" i="85" s="1"/>
  <c r="Q25" i="85" s="1"/>
  <c r="F25" i="41"/>
  <c r="K25" i="41" s="1"/>
  <c r="Q25" i="41" s="1"/>
  <c r="F25" i="45"/>
  <c r="K25" i="45" s="1"/>
  <c r="Q25" i="45" s="1"/>
  <c r="F25" i="46"/>
  <c r="K25" i="46" s="1"/>
  <c r="Q25" i="46" s="1"/>
  <c r="F25" i="44"/>
  <c r="K25" i="44" s="1"/>
  <c r="Q25" i="44" s="1"/>
  <c r="F25" i="37"/>
  <c r="K25" i="37" s="1"/>
  <c r="Q25" i="37" s="1"/>
  <c r="G22" i="78"/>
  <c r="L22" i="78" s="1"/>
  <c r="R22" i="78" s="1"/>
  <c r="G22" i="41"/>
  <c r="L22" i="41" s="1"/>
  <c r="R22" i="41" s="1"/>
  <c r="G22" i="37"/>
  <c r="L22" i="37" s="1"/>
  <c r="R22" i="37" s="1"/>
  <c r="G22" i="44"/>
  <c r="L22" i="44" s="1"/>
  <c r="R22" i="44" s="1"/>
  <c r="G22" i="58"/>
  <c r="L22" i="58" s="1"/>
  <c r="R22" i="58" s="1"/>
  <c r="G22" i="46"/>
  <c r="L22" i="46" s="1"/>
  <c r="R22" i="46" s="1"/>
  <c r="G22" i="85"/>
  <c r="L22" i="85" s="1"/>
  <c r="R22" i="85" s="1"/>
  <c r="G22" i="45"/>
  <c r="L22" i="45" s="1"/>
  <c r="R22" i="45" s="1"/>
  <c r="G22" i="72"/>
  <c r="L22" i="72" s="1"/>
  <c r="R22" i="72" s="1"/>
  <c r="F22" i="78"/>
  <c r="K22" i="78" s="1"/>
  <c r="Q22" i="78" s="1"/>
  <c r="F22" i="37"/>
  <c r="K22" i="37" s="1"/>
  <c r="Q22" i="37" s="1"/>
  <c r="F22" i="41"/>
  <c r="K22" i="41" s="1"/>
  <c r="Q22" i="41" s="1"/>
  <c r="F22" i="58"/>
  <c r="K22" i="58" s="1"/>
  <c r="Q22" i="58" s="1"/>
  <c r="F22" i="85"/>
  <c r="K22" i="85" s="1"/>
  <c r="Q22" i="85" s="1"/>
  <c r="F22" i="46"/>
  <c r="K22" i="46" s="1"/>
  <c r="Q22" i="46" s="1"/>
  <c r="F22" i="45"/>
  <c r="K22" i="45" s="1"/>
  <c r="Q22" i="45" s="1"/>
  <c r="F22" i="72"/>
  <c r="K22" i="72" s="1"/>
  <c r="Q22" i="72" s="1"/>
  <c r="F22" i="44"/>
  <c r="K22" i="44" s="1"/>
  <c r="Q22" i="44" s="1"/>
  <c r="D30" i="78"/>
  <c r="I30" i="78" s="1"/>
  <c r="O30" i="78" s="1"/>
  <c r="D30" i="44"/>
  <c r="I30" i="44" s="1"/>
  <c r="O30" i="44" s="1"/>
  <c r="D30" i="41"/>
  <c r="I30" i="41" s="1"/>
  <c r="O30" i="41" s="1"/>
  <c r="D30" i="72"/>
  <c r="I30" i="72" s="1"/>
  <c r="O30" i="72" s="1"/>
  <c r="D30" i="85"/>
  <c r="I30" i="85" s="1"/>
  <c r="O30" i="85" s="1"/>
  <c r="D30" i="37"/>
  <c r="I30" i="37" s="1"/>
  <c r="O30" i="37" s="1"/>
  <c r="D30" i="45"/>
  <c r="I30" i="45" s="1"/>
  <c r="O30" i="45" s="1"/>
  <c r="D30" i="58"/>
  <c r="I30" i="58" s="1"/>
  <c r="O30" i="58" s="1"/>
  <c r="D30" i="46"/>
  <c r="I30" i="46" s="1"/>
  <c r="O30" i="46" s="1"/>
  <c r="T18" i="58"/>
  <c r="T5" i="37"/>
  <c r="G6" i="78"/>
  <c r="L6" i="78" s="1"/>
  <c r="R6" i="78" s="1"/>
  <c r="G6" i="58"/>
  <c r="L6" i="58" s="1"/>
  <c r="R6" i="58" s="1"/>
  <c r="G6" i="44"/>
  <c r="L6" i="44" s="1"/>
  <c r="R6" i="44" s="1"/>
  <c r="G6" i="41"/>
  <c r="L6" i="41" s="1"/>
  <c r="R6" i="41" s="1"/>
  <c r="G6" i="45"/>
  <c r="L6" i="45" s="1"/>
  <c r="R6" i="45" s="1"/>
  <c r="G6" i="85"/>
  <c r="L6" i="85" s="1"/>
  <c r="R6" i="85" s="1"/>
  <c r="G6" i="72"/>
  <c r="L6" i="72" s="1"/>
  <c r="R6" i="72" s="1"/>
  <c r="G6" i="46"/>
  <c r="L6" i="46" s="1"/>
  <c r="R6" i="46" s="1"/>
  <c r="G6" i="37"/>
  <c r="L6" i="37" s="1"/>
  <c r="R6" i="37" s="1"/>
  <c r="E6" i="78"/>
  <c r="J6" i="78" s="1"/>
  <c r="P6" i="78" s="1"/>
  <c r="E6" i="46"/>
  <c r="J6" i="46" s="1"/>
  <c r="P6" i="46" s="1"/>
  <c r="E6" i="85"/>
  <c r="J6" i="85" s="1"/>
  <c r="P6" i="85" s="1"/>
  <c r="E6" i="37"/>
  <c r="J6" i="37" s="1"/>
  <c r="P6" i="37" s="1"/>
  <c r="E6" i="58"/>
  <c r="J6" i="58" s="1"/>
  <c r="P6" i="58" s="1"/>
  <c r="E6" i="44"/>
  <c r="J6" i="44" s="1"/>
  <c r="P6" i="44" s="1"/>
  <c r="E6" i="45"/>
  <c r="J6" i="45" s="1"/>
  <c r="P6" i="45" s="1"/>
  <c r="E6" i="72"/>
  <c r="J6" i="72" s="1"/>
  <c r="P6" i="72" s="1"/>
  <c r="E6" i="41"/>
  <c r="J6" i="41" s="1"/>
  <c r="P6" i="41" s="1"/>
  <c r="T10" i="44"/>
  <c r="Z10" i="44"/>
  <c r="E34" i="78"/>
  <c r="J34" i="78" s="1"/>
  <c r="P34" i="78" s="1"/>
  <c r="E34" i="72"/>
  <c r="J34" i="72" s="1"/>
  <c r="P34" i="72" s="1"/>
  <c r="E34" i="85"/>
  <c r="J34" i="85" s="1"/>
  <c r="P34" i="85" s="1"/>
  <c r="E34" i="44"/>
  <c r="J34" i="44" s="1"/>
  <c r="P34" i="44" s="1"/>
  <c r="E34" i="41"/>
  <c r="J34" i="41" s="1"/>
  <c r="P34" i="41" s="1"/>
  <c r="E34" i="46"/>
  <c r="J34" i="46" s="1"/>
  <c r="P34" i="46" s="1"/>
  <c r="E34" i="45"/>
  <c r="J34" i="45" s="1"/>
  <c r="P34" i="45" s="1"/>
  <c r="E34" i="37"/>
  <c r="J34" i="37" s="1"/>
  <c r="P34" i="37" s="1"/>
  <c r="E34" i="58"/>
  <c r="J34" i="58" s="1"/>
  <c r="P34" i="58" s="1"/>
  <c r="T7" i="41"/>
  <c r="X33" i="44"/>
  <c r="T8" i="46"/>
  <c r="U33" i="45"/>
  <c r="W7" i="44"/>
  <c r="Z9" i="37"/>
  <c r="F23" i="78"/>
  <c r="K23" i="78" s="1"/>
  <c r="Q23" i="78" s="1"/>
  <c r="F23" i="41"/>
  <c r="K23" i="41" s="1"/>
  <c r="Q23" i="41" s="1"/>
  <c r="F23" i="45"/>
  <c r="K23" i="45" s="1"/>
  <c r="Q23" i="45" s="1"/>
  <c r="F23" i="44"/>
  <c r="K23" i="44" s="1"/>
  <c r="Q23" i="44" s="1"/>
  <c r="F23" i="72"/>
  <c r="K23" i="72" s="1"/>
  <c r="Q23" i="72" s="1"/>
  <c r="F23" i="85"/>
  <c r="K23" i="85" s="1"/>
  <c r="Q23" i="85" s="1"/>
  <c r="F23" i="58"/>
  <c r="K23" i="58" s="1"/>
  <c r="Q23" i="58" s="1"/>
  <c r="F23" i="46"/>
  <c r="K23" i="46" s="1"/>
  <c r="Q23" i="46" s="1"/>
  <c r="F23" i="37"/>
  <c r="K23" i="37" s="1"/>
  <c r="Q23" i="37" s="1"/>
  <c r="X10" i="44"/>
  <c r="X5" i="44"/>
  <c r="V5" i="37"/>
  <c r="H22" i="78"/>
  <c r="M22" i="78" s="1"/>
  <c r="S22" i="78" s="1"/>
  <c r="H22" i="45"/>
  <c r="M22" i="45" s="1"/>
  <c r="S22" i="45" s="1"/>
  <c r="H22" i="44"/>
  <c r="M22" i="44" s="1"/>
  <c r="S22" i="44" s="1"/>
  <c r="H22" i="46"/>
  <c r="M22" i="46" s="1"/>
  <c r="S22" i="46" s="1"/>
  <c r="H22" i="72"/>
  <c r="M22" i="72" s="1"/>
  <c r="S22" i="72" s="1"/>
  <c r="H22" i="41"/>
  <c r="M22" i="41" s="1"/>
  <c r="S22" i="41" s="1"/>
  <c r="H22" i="85"/>
  <c r="M22" i="85" s="1"/>
  <c r="S22" i="85" s="1"/>
  <c r="H22" i="37"/>
  <c r="M22" i="37" s="1"/>
  <c r="S22" i="37" s="1"/>
  <c r="H22" i="58"/>
  <c r="M22" i="58" s="1"/>
  <c r="S22" i="58" s="1"/>
  <c r="E23" i="78"/>
  <c r="J23" i="78" s="1"/>
  <c r="P23" i="78" s="1"/>
  <c r="E23" i="46"/>
  <c r="J23" i="46" s="1"/>
  <c r="P23" i="46" s="1"/>
  <c r="E23" i="72"/>
  <c r="J23" i="72" s="1"/>
  <c r="P23" i="72" s="1"/>
  <c r="E23" i="58"/>
  <c r="J23" i="58" s="1"/>
  <c r="P23" i="58" s="1"/>
  <c r="E23" i="85"/>
  <c r="J23" i="85" s="1"/>
  <c r="P23" i="85" s="1"/>
  <c r="E23" i="41"/>
  <c r="J23" i="41" s="1"/>
  <c r="P23" i="41" s="1"/>
  <c r="E23" i="44"/>
  <c r="J23" i="44" s="1"/>
  <c r="P23" i="44" s="1"/>
  <c r="E23" i="45"/>
  <c r="J23" i="45" s="1"/>
  <c r="P23" i="45" s="1"/>
  <c r="E23" i="37"/>
  <c r="J23" i="37" s="1"/>
  <c r="P23" i="37" s="1"/>
  <c r="Z9" i="85"/>
  <c r="V10" i="44"/>
  <c r="Z9" i="78"/>
  <c r="T17" i="58"/>
  <c r="H30" i="78"/>
  <c r="M30" i="78" s="1"/>
  <c r="S30" i="78" s="1"/>
  <c r="H30" i="37"/>
  <c r="M30" i="37" s="1"/>
  <c r="S30" i="37" s="1"/>
  <c r="H30" i="41"/>
  <c r="M30" i="41" s="1"/>
  <c r="S30" i="41" s="1"/>
  <c r="H30" i="58"/>
  <c r="M30" i="58" s="1"/>
  <c r="S30" i="58" s="1"/>
  <c r="H30" i="45"/>
  <c r="M30" i="45" s="1"/>
  <c r="S30" i="45" s="1"/>
  <c r="H30" i="46"/>
  <c r="M30" i="46" s="1"/>
  <c r="S30" i="46" s="1"/>
  <c r="H30" i="72"/>
  <c r="M30" i="72" s="1"/>
  <c r="S30" i="72" s="1"/>
  <c r="H30" i="44"/>
  <c r="M30" i="44" s="1"/>
  <c r="S30" i="44" s="1"/>
  <c r="H30" i="85"/>
  <c r="M30" i="85" s="1"/>
  <c r="S30" i="85" s="1"/>
  <c r="X35" i="58"/>
  <c r="T18" i="44"/>
  <c r="T5" i="72"/>
  <c r="V33" i="44"/>
  <c r="G32" i="78"/>
  <c r="L32" i="78" s="1"/>
  <c r="R32" i="78" s="1"/>
  <c r="G32" i="72"/>
  <c r="L32" i="72" s="1"/>
  <c r="R32" i="72" s="1"/>
  <c r="G32" i="85"/>
  <c r="L32" i="85" s="1"/>
  <c r="R32" i="85" s="1"/>
  <c r="G32" i="44"/>
  <c r="L32" i="44" s="1"/>
  <c r="R32" i="44" s="1"/>
  <c r="G32" i="45"/>
  <c r="L32" i="45" s="1"/>
  <c r="R32" i="45" s="1"/>
  <c r="G32" i="41"/>
  <c r="L32" i="41" s="1"/>
  <c r="R32" i="41" s="1"/>
  <c r="G32" i="46"/>
  <c r="L32" i="46" s="1"/>
  <c r="R32" i="46" s="1"/>
  <c r="G32" i="58"/>
  <c r="L32" i="58" s="1"/>
  <c r="R32" i="58" s="1"/>
  <c r="G32" i="37"/>
  <c r="L32" i="37" s="1"/>
  <c r="R32" i="37" s="1"/>
  <c r="F30" i="78"/>
  <c r="K30" i="78" s="1"/>
  <c r="Q30" i="78" s="1"/>
  <c r="F30" i="44"/>
  <c r="K30" i="44" s="1"/>
  <c r="Q30" i="44" s="1"/>
  <c r="F30" i="58"/>
  <c r="K30" i="58" s="1"/>
  <c r="Q30" i="58" s="1"/>
  <c r="F30" i="45"/>
  <c r="K30" i="45" s="1"/>
  <c r="Q30" i="45" s="1"/>
  <c r="F30" i="37"/>
  <c r="K30" i="37" s="1"/>
  <c r="Q30" i="37" s="1"/>
  <c r="F30" i="41"/>
  <c r="K30" i="41" s="1"/>
  <c r="Q30" i="41" s="1"/>
  <c r="F30" i="72"/>
  <c r="K30" i="72" s="1"/>
  <c r="Q30" i="72" s="1"/>
  <c r="F30" i="85"/>
  <c r="K30" i="85" s="1"/>
  <c r="Q30" i="85" s="1"/>
  <c r="F30" i="46"/>
  <c r="K30" i="46" s="1"/>
  <c r="Q30" i="46" s="1"/>
  <c r="W18" i="41"/>
  <c r="U5" i="72"/>
  <c r="T10" i="45"/>
  <c r="Z10" i="45"/>
  <c r="X24" i="37"/>
  <c r="X18" i="44"/>
  <c r="T7" i="58"/>
  <c r="W5" i="45"/>
  <c r="W10" i="85"/>
  <c r="V35" i="45"/>
  <c r="V8" i="58"/>
  <c r="U7" i="41"/>
  <c r="T8" i="44"/>
  <c r="V18" i="58"/>
  <c r="T16" i="41"/>
  <c r="Z16" i="41"/>
  <c r="W7" i="58"/>
  <c r="U16" i="41"/>
  <c r="W33" i="41"/>
  <c r="D25" i="78"/>
  <c r="I25" i="78" s="1"/>
  <c r="O25" i="78" s="1"/>
  <c r="T25" i="78" s="1"/>
  <c r="D25" i="58"/>
  <c r="I25" i="58" s="1"/>
  <c r="O25" i="58" s="1"/>
  <c r="T25" i="58" s="1"/>
  <c r="D25" i="45"/>
  <c r="I25" i="45" s="1"/>
  <c r="O25" i="45" s="1"/>
  <c r="T25" i="45" s="1"/>
  <c r="D25" i="44"/>
  <c r="I25" i="44" s="1"/>
  <c r="O25" i="44" s="1"/>
  <c r="T25" i="44" s="1"/>
  <c r="D25" i="37"/>
  <c r="I25" i="37" s="1"/>
  <c r="O25" i="37" s="1"/>
  <c r="T25" i="37" s="1"/>
  <c r="D25" i="46"/>
  <c r="I25" i="46" s="1"/>
  <c r="O25" i="46" s="1"/>
  <c r="T25" i="46" s="1"/>
  <c r="D25" i="72"/>
  <c r="I25" i="72" s="1"/>
  <c r="O25" i="72" s="1"/>
  <c r="T25" i="72" s="1"/>
  <c r="D25" i="85"/>
  <c r="I25" i="85" s="1"/>
  <c r="O25" i="85" s="1"/>
  <c r="T25" i="85" s="1"/>
  <c r="D25" i="41"/>
  <c r="I25" i="41" s="1"/>
  <c r="O25" i="41" s="1"/>
  <c r="T25" i="41" s="1"/>
  <c r="X27" i="72"/>
  <c r="U26" i="44"/>
  <c r="X5" i="45"/>
  <c r="W31" i="37"/>
  <c r="W35" i="37"/>
  <c r="V5" i="58"/>
  <c r="V27" i="72"/>
  <c r="D181" i="83"/>
  <c r="D179" i="83"/>
  <c r="V31" i="44"/>
  <c r="V10" i="37"/>
  <c r="D22" i="78"/>
  <c r="I22" i="78" s="1"/>
  <c r="O22" i="78" s="1"/>
  <c r="T22" i="78" s="1"/>
  <c r="D22" i="37"/>
  <c r="I22" i="37" s="1"/>
  <c r="O22" i="37" s="1"/>
  <c r="T22" i="37" s="1"/>
  <c r="D22" i="41"/>
  <c r="I22" i="41" s="1"/>
  <c r="O22" i="41" s="1"/>
  <c r="T22" i="41" s="1"/>
  <c r="D22" i="58"/>
  <c r="I22" i="58" s="1"/>
  <c r="O22" i="58" s="1"/>
  <c r="T22" i="58" s="1"/>
  <c r="D22" i="85"/>
  <c r="I22" i="85" s="1"/>
  <c r="O22" i="85" s="1"/>
  <c r="T22" i="85" s="1"/>
  <c r="D22" i="44"/>
  <c r="I22" i="44" s="1"/>
  <c r="O22" i="44" s="1"/>
  <c r="T22" i="44" s="1"/>
  <c r="D22" i="45"/>
  <c r="I22" i="45" s="1"/>
  <c r="O22" i="45" s="1"/>
  <c r="T22" i="45" s="1"/>
  <c r="D22" i="46"/>
  <c r="I22" i="46" s="1"/>
  <c r="O22" i="46" s="1"/>
  <c r="T22" i="46" s="1"/>
  <c r="D22" i="72"/>
  <c r="I22" i="72" s="1"/>
  <c r="O22" i="72" s="1"/>
  <c r="T22" i="72" s="1"/>
  <c r="V24" i="37"/>
  <c r="W26" i="45"/>
  <c r="X26" i="44"/>
  <c r="X31" i="45"/>
  <c r="X35" i="72"/>
  <c r="X35" i="78"/>
  <c r="T18" i="46"/>
  <c r="T5" i="46"/>
  <c r="V33" i="85"/>
  <c r="W8" i="46"/>
  <c r="V16" i="41"/>
  <c r="W24" i="58"/>
  <c r="W18" i="44"/>
  <c r="U5" i="46"/>
  <c r="T10" i="58"/>
  <c r="Z10" i="58"/>
  <c r="D14" i="78"/>
  <c r="I14" i="78" s="1"/>
  <c r="O14" i="78" s="1"/>
  <c r="D14" i="58"/>
  <c r="I14" i="58" s="1"/>
  <c r="O14" i="58" s="1"/>
  <c r="D14" i="45"/>
  <c r="I14" i="45" s="1"/>
  <c r="O14" i="45" s="1"/>
  <c r="D14" i="41"/>
  <c r="I14" i="41" s="1"/>
  <c r="O14" i="41" s="1"/>
  <c r="D14" i="44"/>
  <c r="I14" i="44" s="1"/>
  <c r="O14" i="44" s="1"/>
  <c r="D14" i="46"/>
  <c r="I14" i="46" s="1"/>
  <c r="O14" i="46" s="1"/>
  <c r="D14" i="85"/>
  <c r="I14" i="85" s="1"/>
  <c r="O14" i="85" s="1"/>
  <c r="D14" i="37"/>
  <c r="I14" i="37" s="1"/>
  <c r="O14" i="37" s="1"/>
  <c r="D14" i="72"/>
  <c r="I14" i="72" s="1"/>
  <c r="O14" i="72" s="1"/>
  <c r="X24" i="45"/>
  <c r="X18" i="37"/>
  <c r="G14" i="78"/>
  <c r="L14" i="78" s="1"/>
  <c r="R14" i="78" s="1"/>
  <c r="G14" i="44"/>
  <c r="L14" i="44" s="1"/>
  <c r="R14" i="44" s="1"/>
  <c r="G14" i="58"/>
  <c r="L14" i="58" s="1"/>
  <c r="R14" i="58" s="1"/>
  <c r="G14" i="45"/>
  <c r="L14" i="45" s="1"/>
  <c r="R14" i="45" s="1"/>
  <c r="G14" i="37"/>
  <c r="L14" i="37" s="1"/>
  <c r="R14" i="37" s="1"/>
  <c r="G14" i="46"/>
  <c r="L14" i="46" s="1"/>
  <c r="R14" i="46" s="1"/>
  <c r="G14" i="41"/>
  <c r="L14" i="41" s="1"/>
  <c r="R14" i="41" s="1"/>
  <c r="G14" i="72"/>
  <c r="L14" i="72" s="1"/>
  <c r="R14" i="72" s="1"/>
  <c r="G14" i="85"/>
  <c r="L14" i="85" s="1"/>
  <c r="R14" i="85" s="1"/>
  <c r="U35" i="37"/>
  <c r="T7" i="37"/>
  <c r="X33" i="45"/>
  <c r="W5" i="72"/>
  <c r="W10" i="46"/>
  <c r="W27" i="41"/>
  <c r="U10" i="44"/>
  <c r="V35" i="58"/>
  <c r="V8" i="44"/>
  <c r="V26" i="37"/>
  <c r="U7" i="45"/>
  <c r="U7" i="78"/>
  <c r="U8" i="72"/>
  <c r="T8" i="45"/>
  <c r="V18" i="44"/>
  <c r="W35" i="78"/>
  <c r="Z9" i="46"/>
  <c r="V26" i="85"/>
  <c r="T8" i="58"/>
  <c r="D15" i="78"/>
  <c r="I15" i="78" s="1"/>
  <c r="O15" i="78" s="1"/>
  <c r="D15" i="46"/>
  <c r="I15" i="46" s="1"/>
  <c r="O15" i="46" s="1"/>
  <c r="D15" i="58"/>
  <c r="I15" i="58" s="1"/>
  <c r="O15" i="58" s="1"/>
  <c r="D15" i="45"/>
  <c r="I15" i="45" s="1"/>
  <c r="O15" i="45" s="1"/>
  <c r="D15" i="72"/>
  <c r="I15" i="72" s="1"/>
  <c r="O15" i="72" s="1"/>
  <c r="D15" i="85"/>
  <c r="I15" i="85" s="1"/>
  <c r="O15" i="85" s="1"/>
  <c r="D15" i="37"/>
  <c r="I15" i="37" s="1"/>
  <c r="O15" i="37" s="1"/>
  <c r="D15" i="44"/>
  <c r="I15" i="44" s="1"/>
  <c r="O15" i="44" s="1"/>
  <c r="D15" i="41"/>
  <c r="I15" i="41" s="1"/>
  <c r="O15" i="41" s="1"/>
  <c r="V24" i="41"/>
  <c r="E32" i="78"/>
  <c r="J32" i="78" s="1"/>
  <c r="P32" i="78" s="1"/>
  <c r="E32" i="37"/>
  <c r="J32" i="37" s="1"/>
  <c r="P32" i="37" s="1"/>
  <c r="E32" i="41"/>
  <c r="J32" i="41" s="1"/>
  <c r="P32" i="41" s="1"/>
  <c r="E32" i="85"/>
  <c r="J32" i="85" s="1"/>
  <c r="P32" i="85" s="1"/>
  <c r="E32" i="44"/>
  <c r="J32" i="44" s="1"/>
  <c r="P32" i="44" s="1"/>
  <c r="E32" i="58"/>
  <c r="J32" i="58" s="1"/>
  <c r="P32" i="58" s="1"/>
  <c r="E32" i="45"/>
  <c r="J32" i="45" s="1"/>
  <c r="P32" i="45" s="1"/>
  <c r="E32" i="46"/>
  <c r="J32" i="46" s="1"/>
  <c r="P32" i="46" s="1"/>
  <c r="E32" i="72"/>
  <c r="J32" i="72" s="1"/>
  <c r="P32" i="72" s="1"/>
  <c r="T18" i="85"/>
  <c r="G30" i="78"/>
  <c r="L30" i="78" s="1"/>
  <c r="R30" i="78" s="1"/>
  <c r="G30" i="37"/>
  <c r="L30" i="37" s="1"/>
  <c r="R30" i="37" s="1"/>
  <c r="G30" i="45"/>
  <c r="L30" i="45" s="1"/>
  <c r="R30" i="45" s="1"/>
  <c r="G30" i="44"/>
  <c r="L30" i="44" s="1"/>
  <c r="R30" i="44" s="1"/>
  <c r="G30" i="58"/>
  <c r="L30" i="58" s="1"/>
  <c r="R30" i="58" s="1"/>
  <c r="G30" i="46"/>
  <c r="L30" i="46" s="1"/>
  <c r="R30" i="46" s="1"/>
  <c r="G30" i="41"/>
  <c r="L30" i="41" s="1"/>
  <c r="R30" i="41" s="1"/>
  <c r="G30" i="85"/>
  <c r="L30" i="85" s="1"/>
  <c r="R30" i="85" s="1"/>
  <c r="G30" i="72"/>
  <c r="L30" i="72" s="1"/>
  <c r="R30" i="72" s="1"/>
  <c r="W18" i="85"/>
  <c r="E22" i="78"/>
  <c r="J22" i="78" s="1"/>
  <c r="P22" i="78" s="1"/>
  <c r="E22" i="85"/>
  <c r="J22" i="85" s="1"/>
  <c r="P22" i="85" s="1"/>
  <c r="E22" i="72"/>
  <c r="J22" i="72" s="1"/>
  <c r="P22" i="72" s="1"/>
  <c r="E22" i="37"/>
  <c r="J22" i="37" s="1"/>
  <c r="P22" i="37" s="1"/>
  <c r="E22" i="45"/>
  <c r="J22" i="45" s="1"/>
  <c r="P22" i="45" s="1"/>
  <c r="E22" i="41"/>
  <c r="J22" i="41" s="1"/>
  <c r="P22" i="41" s="1"/>
  <c r="E22" i="58"/>
  <c r="J22" i="58" s="1"/>
  <c r="P22" i="58" s="1"/>
  <c r="E22" i="46"/>
  <c r="J22" i="46" s="1"/>
  <c r="P22" i="46" s="1"/>
  <c r="E22" i="44"/>
  <c r="J22" i="44" s="1"/>
  <c r="P22" i="44" s="1"/>
  <c r="Z10" i="85"/>
  <c r="T10" i="85"/>
  <c r="X24" i="46"/>
  <c r="U33" i="72"/>
  <c r="H32" i="78"/>
  <c r="M32" i="78" s="1"/>
  <c r="S32" i="78" s="1"/>
  <c r="H32" i="41"/>
  <c r="M32" i="41" s="1"/>
  <c r="S32" i="41" s="1"/>
  <c r="H32" i="37"/>
  <c r="M32" i="37" s="1"/>
  <c r="S32" i="37" s="1"/>
  <c r="H32" i="72"/>
  <c r="M32" i="72" s="1"/>
  <c r="S32" i="72" s="1"/>
  <c r="H32" i="85"/>
  <c r="M32" i="85" s="1"/>
  <c r="S32" i="85" s="1"/>
  <c r="H32" i="58"/>
  <c r="M32" i="58" s="1"/>
  <c r="S32" i="58" s="1"/>
  <c r="H32" i="45"/>
  <c r="M32" i="45" s="1"/>
  <c r="S32" i="45" s="1"/>
  <c r="H32" i="44"/>
  <c r="M32" i="44" s="1"/>
  <c r="S32" i="44" s="1"/>
  <c r="H32" i="46"/>
  <c r="M32" i="46" s="1"/>
  <c r="S32" i="46" s="1"/>
  <c r="V10" i="85"/>
  <c r="X26" i="37"/>
  <c r="X31" i="44"/>
  <c r="X35" i="44"/>
  <c r="T18" i="72"/>
  <c r="T5" i="58"/>
  <c r="V33" i="41"/>
  <c r="W24" i="46"/>
  <c r="W18" i="72"/>
  <c r="U5" i="44"/>
  <c r="Z10" i="72"/>
  <c r="T10" i="72"/>
  <c r="X24" i="72"/>
  <c r="X18" i="41"/>
  <c r="U35" i="46"/>
  <c r="G34" i="78"/>
  <c r="L34" i="78" s="1"/>
  <c r="R34" i="78" s="1"/>
  <c r="G34" i="46"/>
  <c r="L34" i="46" s="1"/>
  <c r="R34" i="46" s="1"/>
  <c r="G34" i="44"/>
  <c r="L34" i="44" s="1"/>
  <c r="R34" i="44" s="1"/>
  <c r="G34" i="41"/>
  <c r="L34" i="41" s="1"/>
  <c r="R34" i="41" s="1"/>
  <c r="G34" i="58"/>
  <c r="L34" i="58" s="1"/>
  <c r="R34" i="58" s="1"/>
  <c r="G34" i="72"/>
  <c r="L34" i="72" s="1"/>
  <c r="R34" i="72" s="1"/>
  <c r="G34" i="45"/>
  <c r="L34" i="45" s="1"/>
  <c r="R34" i="45" s="1"/>
  <c r="G34" i="37"/>
  <c r="L34" i="37" s="1"/>
  <c r="R34" i="37" s="1"/>
  <c r="G34" i="85"/>
  <c r="L34" i="85" s="1"/>
  <c r="R34" i="85" s="1"/>
  <c r="T7" i="85"/>
  <c r="X33" i="58"/>
  <c r="H14" i="78"/>
  <c r="M14" i="78" s="1"/>
  <c r="S14" i="78" s="1"/>
  <c r="H14" i="72"/>
  <c r="M14" i="72" s="1"/>
  <c r="S14" i="72" s="1"/>
  <c r="H14" i="85"/>
  <c r="M14" i="85" s="1"/>
  <c r="S14" i="85" s="1"/>
  <c r="H14" i="44"/>
  <c r="M14" i="44" s="1"/>
  <c r="S14" i="44" s="1"/>
  <c r="H14" i="58"/>
  <c r="M14" i="58" s="1"/>
  <c r="S14" i="58" s="1"/>
  <c r="H14" i="41"/>
  <c r="M14" i="41" s="1"/>
  <c r="S14" i="41" s="1"/>
  <c r="H14" i="46"/>
  <c r="M14" i="46" s="1"/>
  <c r="S14" i="46" s="1"/>
  <c r="H14" i="45"/>
  <c r="M14" i="45" s="1"/>
  <c r="S14" i="45" s="1"/>
  <c r="H14" i="37"/>
  <c r="M14" i="37" s="1"/>
  <c r="S14" i="37" s="1"/>
  <c r="W5" i="58"/>
  <c r="Z9" i="41"/>
  <c r="W10" i="45"/>
  <c r="U10" i="37"/>
  <c r="V35" i="37"/>
  <c r="V26" i="44"/>
  <c r="U7" i="58"/>
  <c r="U8" i="46"/>
  <c r="T8" i="85"/>
  <c r="T8" i="78"/>
  <c r="V18" i="41"/>
  <c r="U33" i="44"/>
  <c r="W35" i="41"/>
  <c r="T5" i="44"/>
  <c r="E25" i="78"/>
  <c r="J25" i="78" s="1"/>
  <c r="P25" i="78" s="1"/>
  <c r="E25" i="37"/>
  <c r="J25" i="37" s="1"/>
  <c r="P25" i="37" s="1"/>
  <c r="E25" i="41"/>
  <c r="J25" i="41" s="1"/>
  <c r="P25" i="41" s="1"/>
  <c r="E25" i="45"/>
  <c r="J25" i="45" s="1"/>
  <c r="P25" i="45" s="1"/>
  <c r="E25" i="72"/>
  <c r="J25" i="72" s="1"/>
  <c r="P25" i="72" s="1"/>
  <c r="E25" i="85"/>
  <c r="J25" i="85" s="1"/>
  <c r="P25" i="85" s="1"/>
  <c r="E25" i="44"/>
  <c r="J25" i="44" s="1"/>
  <c r="P25" i="44" s="1"/>
  <c r="E25" i="58"/>
  <c r="J25" i="58" s="1"/>
  <c r="P25" i="58" s="1"/>
  <c r="E25" i="46"/>
  <c r="J25" i="46" s="1"/>
  <c r="P25" i="46" s="1"/>
  <c r="E14" i="78"/>
  <c r="J14" i="78" s="1"/>
  <c r="P14" i="78" s="1"/>
  <c r="E14" i="46"/>
  <c r="J14" i="46" s="1"/>
  <c r="P14" i="46" s="1"/>
  <c r="E14" i="58"/>
  <c r="J14" i="58" s="1"/>
  <c r="P14" i="58" s="1"/>
  <c r="E14" i="45"/>
  <c r="J14" i="45" s="1"/>
  <c r="P14" i="45" s="1"/>
  <c r="E14" i="72"/>
  <c r="J14" i="72" s="1"/>
  <c r="P14" i="72" s="1"/>
  <c r="E14" i="85"/>
  <c r="J14" i="85" s="1"/>
  <c r="P14" i="85" s="1"/>
  <c r="E14" i="37"/>
  <c r="J14" i="37" s="1"/>
  <c r="P14" i="37" s="1"/>
  <c r="E14" i="44"/>
  <c r="J14" i="44" s="1"/>
  <c r="P14" i="44" s="1"/>
  <c r="E14" i="41"/>
  <c r="J14" i="41" s="1"/>
  <c r="P14" i="41" s="1"/>
  <c r="Z10" i="37"/>
  <c r="T10" i="37"/>
  <c r="Z7" i="44"/>
  <c r="T7" i="44"/>
  <c r="W33" i="44"/>
  <c r="X7" i="41"/>
  <c r="Z9" i="45"/>
  <c r="T5" i="45"/>
  <c r="Z10" i="78"/>
  <c r="T10" i="78"/>
  <c r="X18" i="58"/>
  <c r="U35" i="78"/>
  <c r="T7" i="46"/>
  <c r="F34" i="78"/>
  <c r="K34" i="78" s="1"/>
  <c r="Q34" i="78" s="1"/>
  <c r="F34" i="41"/>
  <c r="K34" i="41" s="1"/>
  <c r="Q34" i="41" s="1"/>
  <c r="F34" i="37"/>
  <c r="K34" i="37" s="1"/>
  <c r="Q34" i="37" s="1"/>
  <c r="F34" i="72"/>
  <c r="K34" i="72" s="1"/>
  <c r="Q34" i="72" s="1"/>
  <c r="F34" i="85"/>
  <c r="K34" i="85" s="1"/>
  <c r="Q34" i="85" s="1"/>
  <c r="F34" i="58"/>
  <c r="K34" i="58" s="1"/>
  <c r="Q34" i="58" s="1"/>
  <c r="F34" i="45"/>
  <c r="K34" i="45" s="1"/>
  <c r="Q34" i="45" s="1"/>
  <c r="F34" i="44"/>
  <c r="K34" i="44" s="1"/>
  <c r="Q34" i="44" s="1"/>
  <c r="F34" i="46"/>
  <c r="K34" i="46" s="1"/>
  <c r="Q34" i="46" s="1"/>
  <c r="W5" i="37"/>
  <c r="U7" i="44"/>
  <c r="U8" i="58"/>
  <c r="T8" i="37"/>
  <c r="U24" i="41"/>
  <c r="W7" i="41"/>
  <c r="W33" i="45"/>
  <c r="X10" i="45"/>
  <c r="W31" i="44"/>
  <c r="W35" i="58"/>
  <c r="V5" i="72"/>
  <c r="U27" i="72"/>
  <c r="V31" i="45"/>
  <c r="U24" i="44"/>
  <c r="W7" i="46"/>
  <c r="E30" i="78"/>
  <c r="J30" i="78" s="1"/>
  <c r="P30" i="78" s="1"/>
  <c r="E30" i="37"/>
  <c r="J30" i="37" s="1"/>
  <c r="P30" i="37" s="1"/>
  <c r="E30" i="41"/>
  <c r="J30" i="41" s="1"/>
  <c r="P30" i="41" s="1"/>
  <c r="E30" i="58"/>
  <c r="J30" i="58" s="1"/>
  <c r="P30" i="58" s="1"/>
  <c r="E30" i="44"/>
  <c r="J30" i="44" s="1"/>
  <c r="P30" i="44" s="1"/>
  <c r="E30" i="46"/>
  <c r="J30" i="46" s="1"/>
  <c r="P30" i="46" s="1"/>
  <c r="E30" i="45"/>
  <c r="J30" i="45" s="1"/>
  <c r="P30" i="45" s="1"/>
  <c r="E30" i="85"/>
  <c r="J30" i="85" s="1"/>
  <c r="P30" i="85" s="1"/>
  <c r="E30" i="72"/>
  <c r="J30" i="72" s="1"/>
  <c r="P30" i="72" s="1"/>
  <c r="Z9" i="58"/>
  <c r="X27" i="41"/>
  <c r="AA27" i="41" s="1"/>
  <c r="U26" i="85"/>
  <c r="X7" i="46"/>
  <c r="X10" i="85"/>
  <c r="W35" i="45"/>
  <c r="V5" i="44"/>
  <c r="G15" i="78"/>
  <c r="L15" i="78" s="1"/>
  <c r="R15" i="78" s="1"/>
  <c r="G15" i="72"/>
  <c r="L15" i="72" s="1"/>
  <c r="R15" i="72" s="1"/>
  <c r="G15" i="85"/>
  <c r="L15" i="85" s="1"/>
  <c r="R15" i="85" s="1"/>
  <c r="G15" i="44"/>
  <c r="L15" i="44" s="1"/>
  <c r="R15" i="44" s="1"/>
  <c r="G15" i="41"/>
  <c r="L15" i="41" s="1"/>
  <c r="R15" i="41" s="1"/>
  <c r="G15" i="45"/>
  <c r="L15" i="45" s="1"/>
  <c r="R15" i="45" s="1"/>
  <c r="G15" i="46"/>
  <c r="L15" i="46" s="1"/>
  <c r="R15" i="46" s="1"/>
  <c r="G15" i="37"/>
  <c r="L15" i="37" s="1"/>
  <c r="R15" i="37" s="1"/>
  <c r="G15" i="58"/>
  <c r="L15" i="58" s="1"/>
  <c r="R15" i="58" s="1"/>
  <c r="U31" i="45"/>
  <c r="W26" i="37"/>
  <c r="X35" i="37"/>
  <c r="T18" i="37"/>
  <c r="T18" i="78"/>
  <c r="Z18" i="78"/>
  <c r="T5" i="41"/>
  <c r="V33" i="58"/>
  <c r="W8" i="58"/>
  <c r="W24" i="44"/>
  <c r="W24" i="78"/>
  <c r="W18" i="37"/>
  <c r="U5" i="58"/>
  <c r="H6" i="78"/>
  <c r="M6" i="78" s="1"/>
  <c r="S6" i="78" s="1"/>
  <c r="H6" i="37"/>
  <c r="M6" i="37" s="1"/>
  <c r="S6" i="37" s="1"/>
  <c r="H6" i="72"/>
  <c r="M6" i="72" s="1"/>
  <c r="S6" i="72" s="1"/>
  <c r="H6" i="41"/>
  <c r="M6" i="41" s="1"/>
  <c r="S6" i="41" s="1"/>
  <c r="H6" i="45"/>
  <c r="M6" i="45" s="1"/>
  <c r="S6" i="45" s="1"/>
  <c r="H6" i="85"/>
  <c r="M6" i="85" s="1"/>
  <c r="S6" i="85" s="1"/>
  <c r="H6" i="44"/>
  <c r="M6" i="44" s="1"/>
  <c r="S6" i="44" s="1"/>
  <c r="H6" i="46"/>
  <c r="M6" i="46" s="1"/>
  <c r="S6" i="46" s="1"/>
  <c r="H6" i="58"/>
  <c r="M6" i="58" s="1"/>
  <c r="S6" i="58" s="1"/>
  <c r="W17" i="58"/>
  <c r="Z10" i="41"/>
  <c r="T10" i="41"/>
  <c r="Z9" i="44"/>
  <c r="X24" i="41"/>
  <c r="X18" i="72"/>
  <c r="X18" i="78"/>
  <c r="U35" i="45"/>
  <c r="T7" i="72"/>
  <c r="X33" i="78"/>
  <c r="W5" i="44"/>
  <c r="W10" i="58"/>
  <c r="W27" i="45"/>
  <c r="U10" i="85"/>
  <c r="U10" i="78"/>
  <c r="V35" i="41"/>
  <c r="V8" i="85"/>
  <c r="V26" i="41"/>
  <c r="U7" i="85"/>
  <c r="V17" i="58"/>
  <c r="U8" i="45"/>
  <c r="T8" i="41"/>
  <c r="V18" i="72"/>
  <c r="V18" i="78"/>
  <c r="W16" i="41"/>
  <c r="F15" i="78"/>
  <c r="K15" i="78" s="1"/>
  <c r="Q15" i="78" s="1"/>
  <c r="F15" i="44"/>
  <c r="K15" i="44" s="1"/>
  <c r="Q15" i="44" s="1"/>
  <c r="F15" i="58"/>
  <c r="K15" i="58" s="1"/>
  <c r="Q15" i="58" s="1"/>
  <c r="F15" i="45"/>
  <c r="K15" i="45" s="1"/>
  <c r="Q15" i="45" s="1"/>
  <c r="F15" i="37"/>
  <c r="K15" i="37" s="1"/>
  <c r="Q15" i="37" s="1"/>
  <c r="F15" i="46"/>
  <c r="K15" i="46" s="1"/>
  <c r="Q15" i="46" s="1"/>
  <c r="F15" i="85"/>
  <c r="K15" i="85" s="1"/>
  <c r="Q15" i="85" s="1"/>
  <c r="F15" i="41"/>
  <c r="K15" i="41" s="1"/>
  <c r="Q15" i="41" s="1"/>
  <c r="F15" i="72"/>
  <c r="K15" i="72" s="1"/>
  <c r="Q15" i="72" s="1"/>
  <c r="T18" i="41"/>
  <c r="F6" i="78"/>
  <c r="K6" i="78" s="1"/>
  <c r="Q6" i="78" s="1"/>
  <c r="F6" i="41"/>
  <c r="K6" i="41" s="1"/>
  <c r="Q6" i="41" s="1"/>
  <c r="F6" i="45"/>
  <c r="K6" i="45" s="1"/>
  <c r="Q6" i="45" s="1"/>
  <c r="F6" i="37"/>
  <c r="K6" i="37" s="1"/>
  <c r="Q6" i="37" s="1"/>
  <c r="F6" i="58"/>
  <c r="K6" i="58" s="1"/>
  <c r="Q6" i="58" s="1"/>
  <c r="F6" i="44"/>
  <c r="K6" i="44" s="1"/>
  <c r="Q6" i="44" s="1"/>
  <c r="F6" i="85"/>
  <c r="K6" i="85" s="1"/>
  <c r="Q6" i="85" s="1"/>
  <c r="F6" i="46"/>
  <c r="K6" i="46" s="1"/>
  <c r="Q6" i="46" s="1"/>
  <c r="F6" i="72"/>
  <c r="K6" i="72" s="1"/>
  <c r="Q6" i="72" s="1"/>
  <c r="U35" i="41"/>
  <c r="W10" i="44"/>
  <c r="H34" i="78"/>
  <c r="M34" i="78" s="1"/>
  <c r="S34" i="78" s="1"/>
  <c r="H34" i="72"/>
  <c r="M34" i="72" s="1"/>
  <c r="S34" i="72" s="1"/>
  <c r="H34" i="85"/>
  <c r="M34" i="85" s="1"/>
  <c r="S34" i="85" s="1"/>
  <c r="H34" i="46"/>
  <c r="M34" i="46" s="1"/>
  <c r="S34" i="46" s="1"/>
  <c r="H34" i="37"/>
  <c r="M34" i="37" s="1"/>
  <c r="S34" i="37" s="1"/>
  <c r="H34" i="45"/>
  <c r="M34" i="45" s="1"/>
  <c r="S34" i="45" s="1"/>
  <c r="H34" i="58"/>
  <c r="M34" i="58" s="1"/>
  <c r="S34" i="58" s="1"/>
  <c r="H34" i="44"/>
  <c r="M34" i="44" s="1"/>
  <c r="S34" i="44" s="1"/>
  <c r="H34" i="41"/>
  <c r="M34" i="41" s="1"/>
  <c r="S34" i="41" s="1"/>
  <c r="X5" i="37"/>
  <c r="V31" i="37"/>
  <c r="D6" i="78"/>
  <c r="I6" i="78" s="1"/>
  <c r="O6" i="78" s="1"/>
  <c r="D6" i="46"/>
  <c r="I6" i="46" s="1"/>
  <c r="O6" i="46" s="1"/>
  <c r="D6" i="41"/>
  <c r="I6" i="41" s="1"/>
  <c r="O6" i="41" s="1"/>
  <c r="D6" i="45"/>
  <c r="I6" i="45" s="1"/>
  <c r="O6" i="45" s="1"/>
  <c r="D6" i="37"/>
  <c r="I6" i="37" s="1"/>
  <c r="O6" i="37" s="1"/>
  <c r="D6" i="58"/>
  <c r="I6" i="58" s="1"/>
  <c r="O6" i="58" s="1"/>
  <c r="D6" i="44"/>
  <c r="I6" i="44" s="1"/>
  <c r="O6" i="44" s="1"/>
  <c r="D6" i="85"/>
  <c r="I6" i="85" s="1"/>
  <c r="O6" i="85" s="1"/>
  <c r="D6" i="72"/>
  <c r="I6" i="72" s="1"/>
  <c r="O6" i="72" s="1"/>
  <c r="X35" i="85"/>
  <c r="X27" i="58"/>
  <c r="X5" i="72"/>
  <c r="W35" i="46"/>
  <c r="V5" i="45"/>
  <c r="V31" i="58"/>
  <c r="F32" i="78"/>
  <c r="K32" i="78" s="1"/>
  <c r="Q32" i="78" s="1"/>
  <c r="F32" i="44"/>
  <c r="K32" i="44" s="1"/>
  <c r="Q32" i="44" s="1"/>
  <c r="F32" i="58"/>
  <c r="K32" i="58" s="1"/>
  <c r="Q32" i="58" s="1"/>
  <c r="F32" i="45"/>
  <c r="K32" i="45" s="1"/>
  <c r="Q32" i="45" s="1"/>
  <c r="F32" i="37"/>
  <c r="K32" i="37" s="1"/>
  <c r="Q32" i="37" s="1"/>
  <c r="F32" i="46"/>
  <c r="K32" i="46" s="1"/>
  <c r="Q32" i="46" s="1"/>
  <c r="F32" i="41"/>
  <c r="K32" i="41" s="1"/>
  <c r="Q32" i="41" s="1"/>
  <c r="F32" i="85"/>
  <c r="K32" i="85" s="1"/>
  <c r="Q32" i="85" s="1"/>
  <c r="F32" i="72"/>
  <c r="K32" i="72" s="1"/>
  <c r="Q32" i="72" s="1"/>
  <c r="U31" i="58"/>
  <c r="V24" i="46"/>
  <c r="W26" i="44"/>
  <c r="X26" i="45"/>
  <c r="X35" i="41"/>
  <c r="T18" i="45"/>
  <c r="T5" i="85"/>
  <c r="T5" i="78"/>
  <c r="V33" i="45"/>
  <c r="E15" i="78"/>
  <c r="J15" i="78" s="1"/>
  <c r="P15" i="78" s="1"/>
  <c r="E15" i="37"/>
  <c r="J15" i="37" s="1"/>
  <c r="P15" i="37" s="1"/>
  <c r="E15" i="41"/>
  <c r="J15" i="41" s="1"/>
  <c r="P15" i="41" s="1"/>
  <c r="E15" i="85"/>
  <c r="J15" i="85" s="1"/>
  <c r="P15" i="85" s="1"/>
  <c r="E15" i="44"/>
  <c r="J15" i="44" s="1"/>
  <c r="P15" i="44" s="1"/>
  <c r="E15" i="58"/>
  <c r="J15" i="58" s="1"/>
  <c r="P15" i="58" s="1"/>
  <c r="E15" i="45"/>
  <c r="J15" i="45" s="1"/>
  <c r="P15" i="45" s="1"/>
  <c r="E15" i="46"/>
  <c r="J15" i="46" s="1"/>
  <c r="P15" i="46" s="1"/>
  <c r="E15" i="72"/>
  <c r="J15" i="72" s="1"/>
  <c r="P15" i="72" s="1"/>
  <c r="W24" i="41"/>
  <c r="W18" i="58"/>
  <c r="U5" i="37"/>
  <c r="G23" i="78"/>
  <c r="L23" i="78" s="1"/>
  <c r="R23" i="78" s="1"/>
  <c r="G23" i="58"/>
  <c r="L23" i="58" s="1"/>
  <c r="R23" i="58" s="1"/>
  <c r="G23" i="44"/>
  <c r="L23" i="44" s="1"/>
  <c r="R23" i="44" s="1"/>
  <c r="G23" i="41"/>
  <c r="L23" i="41" s="1"/>
  <c r="R23" i="41" s="1"/>
  <c r="G23" i="45"/>
  <c r="L23" i="45" s="1"/>
  <c r="R23" i="45" s="1"/>
  <c r="G23" i="46"/>
  <c r="L23" i="46" s="1"/>
  <c r="R23" i="46" s="1"/>
  <c r="G23" i="85"/>
  <c r="L23" i="85" s="1"/>
  <c r="R23" i="85" s="1"/>
  <c r="G23" i="72"/>
  <c r="L23" i="72" s="1"/>
  <c r="R23" i="72" s="1"/>
  <c r="G23" i="37"/>
  <c r="L23" i="37" s="1"/>
  <c r="R23" i="37" s="1"/>
  <c r="T10" i="46"/>
  <c r="Z10" i="46"/>
  <c r="H23" i="78"/>
  <c r="M23" i="78" s="1"/>
  <c r="S23" i="78" s="1"/>
  <c r="H23" i="72"/>
  <c r="M23" i="72" s="1"/>
  <c r="S23" i="72" s="1"/>
  <c r="H23" i="58"/>
  <c r="M23" i="58" s="1"/>
  <c r="S23" i="58" s="1"/>
  <c r="H23" i="37"/>
  <c r="M23" i="37" s="1"/>
  <c r="S23" i="37" s="1"/>
  <c r="H23" i="85"/>
  <c r="M23" i="85" s="1"/>
  <c r="S23" i="85" s="1"/>
  <c r="X23" i="85" s="1"/>
  <c r="H23" i="46"/>
  <c r="M23" i="46" s="1"/>
  <c r="S23" i="46" s="1"/>
  <c r="H23" i="44"/>
  <c r="M23" i="44" s="1"/>
  <c r="S23" i="44" s="1"/>
  <c r="H23" i="41"/>
  <c r="M23" i="41" s="1"/>
  <c r="S23" i="41" s="1"/>
  <c r="H23" i="45"/>
  <c r="M23" i="45" s="1"/>
  <c r="S23" i="45" s="1"/>
  <c r="X23" i="45" s="1"/>
  <c r="X24" i="85"/>
  <c r="X18" i="85"/>
  <c r="U35" i="58"/>
  <c r="T7" i="45"/>
  <c r="T7" i="78"/>
  <c r="X33" i="41"/>
  <c r="W5" i="85"/>
  <c r="D34" i="78"/>
  <c r="I34" i="78" s="1"/>
  <c r="O34" i="78" s="1"/>
  <c r="T34" i="78" s="1"/>
  <c r="D34" i="44"/>
  <c r="I34" i="44" s="1"/>
  <c r="O34" i="44" s="1"/>
  <c r="T34" i="44" s="1"/>
  <c r="D34" i="58"/>
  <c r="I34" i="58" s="1"/>
  <c r="O34" i="58" s="1"/>
  <c r="T34" i="58" s="1"/>
  <c r="D34" i="45"/>
  <c r="I34" i="45" s="1"/>
  <c r="O34" i="45" s="1"/>
  <c r="T34" i="45" s="1"/>
  <c r="D34" i="37"/>
  <c r="I34" i="37" s="1"/>
  <c r="O34" i="37" s="1"/>
  <c r="T34" i="37" s="1"/>
  <c r="D34" i="46"/>
  <c r="I34" i="46" s="1"/>
  <c r="O34" i="46" s="1"/>
  <c r="T34" i="46" s="1"/>
  <c r="D34" i="85"/>
  <c r="I34" i="85" s="1"/>
  <c r="O34" i="85" s="1"/>
  <c r="T34" i="85" s="1"/>
  <c r="D34" i="41"/>
  <c r="I34" i="41" s="1"/>
  <c r="O34" i="41" s="1"/>
  <c r="T34" i="41" s="1"/>
  <c r="D34" i="72"/>
  <c r="I34" i="72" s="1"/>
  <c r="O34" i="72" s="1"/>
  <c r="T34" i="72" s="1"/>
  <c r="W10" i="37"/>
  <c r="W27" i="58"/>
  <c r="U10" i="72"/>
  <c r="V35" i="72"/>
  <c r="V35" i="78"/>
  <c r="V26" i="45"/>
  <c r="U7" i="72"/>
  <c r="T8" i="72"/>
  <c r="V18" i="85"/>
  <c r="AA31" i="46" l="1"/>
  <c r="AD31" i="46" s="1"/>
  <c r="AF31" i="46"/>
  <c r="AH31" i="46" s="1"/>
  <c r="AK31" i="46"/>
  <c r="AN31" i="46" s="1"/>
  <c r="W23" i="45"/>
  <c r="W30" i="78"/>
  <c r="U32" i="41"/>
  <c r="U30" i="46"/>
  <c r="U25" i="72"/>
  <c r="AF27" i="44"/>
  <c r="AG27" i="44" s="1"/>
  <c r="AL33" i="78"/>
  <c r="AL16" i="78" s="1"/>
  <c r="AA26" i="41"/>
  <c r="AE26" i="41" s="1"/>
  <c r="X23" i="78"/>
  <c r="W23" i="37"/>
  <c r="W23" i="78"/>
  <c r="U22" i="44"/>
  <c r="V17" i="78"/>
  <c r="U22" i="37"/>
  <c r="U17" i="44"/>
  <c r="W17" i="78"/>
  <c r="V17" i="44"/>
  <c r="X23" i="41"/>
  <c r="W23" i="41"/>
  <c r="W30" i="37"/>
  <c r="U32" i="46"/>
  <c r="U23" i="41"/>
  <c r="V16" i="85"/>
  <c r="AB27" i="85"/>
  <c r="AE27" i="85" s="1"/>
  <c r="V30" i="44"/>
  <c r="W32" i="46"/>
  <c r="X30" i="44"/>
  <c r="V23" i="41"/>
  <c r="AA31" i="45"/>
  <c r="AB31" i="45" s="1"/>
  <c r="AK27" i="37"/>
  <c r="AL27" i="37" s="1"/>
  <c r="AA24" i="45"/>
  <c r="AC24" i="45" s="1"/>
  <c r="AA33" i="46"/>
  <c r="AC33" i="46" s="1"/>
  <c r="AF26" i="41"/>
  <c r="AJ26" i="41" s="1"/>
  <c r="AB26" i="72"/>
  <c r="AE26" i="72" s="1"/>
  <c r="AG27" i="78"/>
  <c r="AI27" i="78" s="1"/>
  <c r="X30" i="85"/>
  <c r="V17" i="85"/>
  <c r="AL24" i="85"/>
  <c r="AM24" i="85" s="1"/>
  <c r="X23" i="46"/>
  <c r="W23" i="46"/>
  <c r="V32" i="72"/>
  <c r="V32" i="78"/>
  <c r="T17" i="72"/>
  <c r="W17" i="72"/>
  <c r="X32" i="72"/>
  <c r="V23" i="46"/>
  <c r="V23" i="44"/>
  <c r="V17" i="72"/>
  <c r="AL26" i="72"/>
  <c r="AN26" i="72" s="1"/>
  <c r="AA27" i="44"/>
  <c r="AE27" i="44" s="1"/>
  <c r="AG27" i="85"/>
  <c r="AH27" i="85" s="1"/>
  <c r="X30" i="78"/>
  <c r="V32" i="46"/>
  <c r="U30" i="44"/>
  <c r="U17" i="41"/>
  <c r="T17" i="41"/>
  <c r="X32" i="46"/>
  <c r="X32" i="78"/>
  <c r="W30" i="85"/>
  <c r="W30" i="44"/>
  <c r="U17" i="46"/>
  <c r="AA35" i="44"/>
  <c r="AD35" i="44" s="1"/>
  <c r="AK27" i="45"/>
  <c r="AN27" i="45" s="1"/>
  <c r="AG26" i="78"/>
  <c r="AK26" i="78" s="1"/>
  <c r="AG26" i="72"/>
  <c r="AJ26" i="72" s="1"/>
  <c r="AL26" i="85"/>
  <c r="AP26" i="85" s="1"/>
  <c r="AG24" i="72"/>
  <c r="AJ24" i="72" s="1"/>
  <c r="AL27" i="85"/>
  <c r="AN27" i="85" s="1"/>
  <c r="W16" i="78"/>
  <c r="X17" i="78"/>
  <c r="AK26" i="41"/>
  <c r="AM26" i="41" s="1"/>
  <c r="X32" i="44"/>
  <c r="U22" i="45"/>
  <c r="T17" i="78"/>
  <c r="W17" i="37"/>
  <c r="V16" i="78"/>
  <c r="U17" i="37"/>
  <c r="AF31" i="41"/>
  <c r="AJ31" i="41" s="1"/>
  <c r="AB26" i="58"/>
  <c r="AC26" i="58" s="1"/>
  <c r="AF24" i="45"/>
  <c r="AH24" i="45" s="1"/>
  <c r="AG31" i="72"/>
  <c r="AJ31" i="72" s="1"/>
  <c r="AF33" i="46"/>
  <c r="AI33" i="46" s="1"/>
  <c r="AL26" i="78"/>
  <c r="AL9" i="78" s="1"/>
  <c r="AK27" i="44"/>
  <c r="AL27" i="44" s="1"/>
  <c r="X16" i="78"/>
  <c r="T17" i="37"/>
  <c r="V32" i="45"/>
  <c r="AF27" i="45"/>
  <c r="AH27" i="45" s="1"/>
  <c r="T16" i="72"/>
  <c r="X16" i="37"/>
  <c r="V17" i="45"/>
  <c r="U17" i="45"/>
  <c r="AB24" i="58"/>
  <c r="AE24" i="58" s="1"/>
  <c r="X30" i="58"/>
  <c r="AF26" i="45"/>
  <c r="AG26" i="45" s="1"/>
  <c r="AA27" i="45"/>
  <c r="AB27" i="45" s="1"/>
  <c r="AL31" i="58"/>
  <c r="AM31" i="58" s="1"/>
  <c r="X17" i="72"/>
  <c r="AL27" i="78"/>
  <c r="AP27" i="78" s="1"/>
  <c r="AP10" i="78" s="1"/>
  <c r="AK24" i="45"/>
  <c r="AM24" i="45" s="1"/>
  <c r="W17" i="46"/>
  <c r="AK33" i="46"/>
  <c r="AG24" i="78"/>
  <c r="AK24" i="78" s="1"/>
  <c r="AB31" i="72"/>
  <c r="AF31" i="72" s="1"/>
  <c r="AK33" i="37"/>
  <c r="AN33" i="37" s="1"/>
  <c r="AK26" i="46"/>
  <c r="AL26" i="46" s="1"/>
  <c r="AB31" i="85"/>
  <c r="AD31" i="85" s="1"/>
  <c r="AK35" i="37"/>
  <c r="AL35" i="37" s="1"/>
  <c r="AG26" i="85"/>
  <c r="AK26" i="85" s="1"/>
  <c r="AG33" i="72"/>
  <c r="AH33" i="72" s="1"/>
  <c r="AB26" i="78"/>
  <c r="AC26" i="78" s="1"/>
  <c r="X17" i="46"/>
  <c r="AL35" i="58"/>
  <c r="AM35" i="58" s="1"/>
  <c r="AK26" i="44"/>
  <c r="AM26" i="44" s="1"/>
  <c r="AA33" i="41"/>
  <c r="AD33" i="41" s="1"/>
  <c r="V30" i="41"/>
  <c r="X22" i="45"/>
  <c r="V23" i="85"/>
  <c r="AO27" i="46"/>
  <c r="AK33" i="41"/>
  <c r="AL33" i="41" s="1"/>
  <c r="V32" i="58"/>
  <c r="AB27" i="58"/>
  <c r="AD27" i="58" s="1"/>
  <c r="AG33" i="58"/>
  <c r="AI33" i="58" s="1"/>
  <c r="V34" i="85"/>
  <c r="AF27" i="46"/>
  <c r="AH27" i="46" s="1"/>
  <c r="AF26" i="46"/>
  <c r="AI26" i="46" s="1"/>
  <c r="X30" i="41"/>
  <c r="U23" i="45"/>
  <c r="AA33" i="45"/>
  <c r="AB33" i="45" s="1"/>
  <c r="U34" i="85"/>
  <c r="X17" i="41"/>
  <c r="AL24" i="78"/>
  <c r="AL7" i="78" s="1"/>
  <c r="AK35" i="45"/>
  <c r="AN35" i="45" s="1"/>
  <c r="AK31" i="44"/>
  <c r="AL31" i="44" s="1"/>
  <c r="AA33" i="44"/>
  <c r="AD33" i="44" s="1"/>
  <c r="U25" i="85"/>
  <c r="AL31" i="72"/>
  <c r="AP31" i="72" s="1"/>
  <c r="AA27" i="46"/>
  <c r="AE27" i="46" s="1"/>
  <c r="Z5" i="58"/>
  <c r="AB5" i="58" s="1"/>
  <c r="AF33" i="37"/>
  <c r="AJ33" i="37" s="1"/>
  <c r="W30" i="41"/>
  <c r="AA31" i="37"/>
  <c r="AC31" i="37" s="1"/>
  <c r="W32" i="58"/>
  <c r="V23" i="45"/>
  <c r="V22" i="85"/>
  <c r="Z5" i="78"/>
  <c r="AG5" i="78" s="1"/>
  <c r="W25" i="72"/>
  <c r="AB24" i="72"/>
  <c r="AD24" i="72" s="1"/>
  <c r="AL31" i="78"/>
  <c r="AO31" i="78" s="1"/>
  <c r="AO14" i="78" s="1"/>
  <c r="AK31" i="41"/>
  <c r="AO31" i="41" s="1"/>
  <c r="AL35" i="72"/>
  <c r="AO35" i="72" s="1"/>
  <c r="AL31" i="85"/>
  <c r="AM31" i="85" s="1"/>
  <c r="AA27" i="37"/>
  <c r="AC27" i="37" s="1"/>
  <c r="X34" i="41"/>
  <c r="AB24" i="78"/>
  <c r="AC24" i="78" s="1"/>
  <c r="AB26" i="85"/>
  <c r="AC26" i="85" s="1"/>
  <c r="U25" i="44"/>
  <c r="U32" i="58"/>
  <c r="AF27" i="41"/>
  <c r="AI27" i="41" s="1"/>
  <c r="AB33" i="85"/>
  <c r="AD33" i="85" s="1"/>
  <c r="AA31" i="41"/>
  <c r="AE31" i="41" s="1"/>
  <c r="AG26" i="58"/>
  <c r="AH26" i="58" s="1"/>
  <c r="AG31" i="85"/>
  <c r="AH31" i="85" s="1"/>
  <c r="AA33" i="37"/>
  <c r="AD33" i="37" s="1"/>
  <c r="AA26" i="46"/>
  <c r="AC26" i="46" s="1"/>
  <c r="X34" i="44"/>
  <c r="AA26" i="45"/>
  <c r="AE26" i="45" s="1"/>
  <c r="X23" i="72"/>
  <c r="AK24" i="41"/>
  <c r="AM24" i="41" s="1"/>
  <c r="AB35" i="58"/>
  <c r="AF35" i="58" s="1"/>
  <c r="V34" i="58"/>
  <c r="AK33" i="44"/>
  <c r="AM33" i="44" s="1"/>
  <c r="AB31" i="78"/>
  <c r="AC31" i="78" s="1"/>
  <c r="AL26" i="58"/>
  <c r="AO26" i="58" s="1"/>
  <c r="AF31" i="44"/>
  <c r="AJ31" i="44" s="1"/>
  <c r="V30" i="72"/>
  <c r="U23" i="37"/>
  <c r="V16" i="72"/>
  <c r="X16" i="72"/>
  <c r="W23" i="72"/>
  <c r="V32" i="41"/>
  <c r="AG35" i="85"/>
  <c r="AI35" i="85" s="1"/>
  <c r="T16" i="78"/>
  <c r="X34" i="85"/>
  <c r="AL24" i="72"/>
  <c r="AP24" i="72" s="1"/>
  <c r="U30" i="72"/>
  <c r="U30" i="78"/>
  <c r="Z16" i="72"/>
  <c r="V34" i="44"/>
  <c r="T16" i="85"/>
  <c r="U25" i="58"/>
  <c r="U25" i="45"/>
  <c r="AG31" i="78"/>
  <c r="AH31" i="78" s="1"/>
  <c r="W34" i="37"/>
  <c r="U32" i="72"/>
  <c r="U32" i="44"/>
  <c r="U32" i="78"/>
  <c r="AN27" i="46"/>
  <c r="AL24" i="58"/>
  <c r="AP24" i="58" s="1"/>
  <c r="T17" i="44"/>
  <c r="AF27" i="37"/>
  <c r="AI27" i="37" s="1"/>
  <c r="V30" i="46"/>
  <c r="V30" i="78"/>
  <c r="W32" i="41"/>
  <c r="W32" i="72"/>
  <c r="X30" i="72"/>
  <c r="U23" i="44"/>
  <c r="U23" i="72"/>
  <c r="X22" i="37"/>
  <c r="U16" i="78"/>
  <c r="U34" i="46"/>
  <c r="V22" i="72"/>
  <c r="W22" i="72"/>
  <c r="W22" i="78"/>
  <c r="V25" i="45"/>
  <c r="V25" i="58"/>
  <c r="W25" i="45"/>
  <c r="W25" i="46"/>
  <c r="X25" i="46"/>
  <c r="X17" i="37"/>
  <c r="W16" i="85"/>
  <c r="U16" i="72"/>
  <c r="X17" i="44"/>
  <c r="AA35" i="45"/>
  <c r="AE35" i="45" s="1"/>
  <c r="V34" i="46"/>
  <c r="W22" i="46"/>
  <c r="AF31" i="45"/>
  <c r="AG31" i="45" s="1"/>
  <c r="AG35" i="58"/>
  <c r="AH35" i="58" s="1"/>
  <c r="W30" i="58"/>
  <c r="V30" i="58"/>
  <c r="W32" i="44"/>
  <c r="U23" i="78"/>
  <c r="X23" i="44"/>
  <c r="W23" i="44"/>
  <c r="AF26" i="44"/>
  <c r="AJ26" i="44" s="1"/>
  <c r="AL33" i="85"/>
  <c r="AM33" i="85" s="1"/>
  <c r="V32" i="44"/>
  <c r="X34" i="45"/>
  <c r="AK27" i="41"/>
  <c r="AO27" i="41" s="1"/>
  <c r="U30" i="85"/>
  <c r="U30" i="58"/>
  <c r="AF33" i="45"/>
  <c r="AG33" i="45" s="1"/>
  <c r="AB35" i="78"/>
  <c r="AD35" i="78" s="1"/>
  <c r="W17" i="45"/>
  <c r="Z16" i="85"/>
  <c r="T17" i="45"/>
  <c r="AB33" i="58"/>
  <c r="AE33" i="58" s="1"/>
  <c r="W34" i="45"/>
  <c r="W34" i="44"/>
  <c r="AK35" i="44"/>
  <c r="AM35" i="44" s="1"/>
  <c r="U16" i="37"/>
  <c r="X32" i="41"/>
  <c r="U22" i="46"/>
  <c r="W30" i="46"/>
  <c r="AK33" i="45"/>
  <c r="AO33" i="45" s="1"/>
  <c r="AG24" i="58"/>
  <c r="AI24" i="58" s="1"/>
  <c r="AL27" i="46"/>
  <c r="X16" i="85"/>
  <c r="V30" i="85"/>
  <c r="W32" i="45"/>
  <c r="W32" i="78"/>
  <c r="X30" i="46"/>
  <c r="U23" i="46"/>
  <c r="X22" i="85"/>
  <c r="X22" i="44"/>
  <c r="V23" i="72"/>
  <c r="V23" i="78"/>
  <c r="V22" i="45"/>
  <c r="W22" i="45"/>
  <c r="X17" i="85"/>
  <c r="U17" i="85"/>
  <c r="V17" i="46"/>
  <c r="W17" i="85"/>
  <c r="W17" i="41"/>
  <c r="V7" i="41"/>
  <c r="AK7" i="41" s="1"/>
  <c r="U16" i="45"/>
  <c r="Z16" i="44"/>
  <c r="Y16" i="44" s="1"/>
  <c r="AD11" i="49" s="1"/>
  <c r="AE11" i="52" s="1"/>
  <c r="X16" i="45"/>
  <c r="W16" i="45"/>
  <c r="U16" i="44"/>
  <c r="X16" i="58"/>
  <c r="X16" i="44"/>
  <c r="W16" i="44"/>
  <c r="V16" i="44"/>
  <c r="Z7" i="58"/>
  <c r="Y7" i="58" s="1"/>
  <c r="Y10" i="49" s="1"/>
  <c r="Z10" i="52" s="1"/>
  <c r="V16" i="58"/>
  <c r="U16" i="58"/>
  <c r="Z16" i="58"/>
  <c r="Y16" i="58" s="1"/>
  <c r="Z11" i="49" s="1"/>
  <c r="AA11" i="52" s="1"/>
  <c r="W16" i="58"/>
  <c r="Z16" i="37"/>
  <c r="Y16" i="37" s="1"/>
  <c r="V11" i="49" s="1"/>
  <c r="W11" i="52" s="1"/>
  <c r="T16" i="37"/>
  <c r="V16" i="37"/>
  <c r="V7" i="72"/>
  <c r="AB7" i="72" s="1"/>
  <c r="T16" i="45"/>
  <c r="V16" i="45"/>
  <c r="V7" i="46"/>
  <c r="AK7" i="46" s="1"/>
  <c r="Z7" i="45"/>
  <c r="AA7" i="45" s="1"/>
  <c r="V7" i="85"/>
  <c r="AB7" i="85" s="1"/>
  <c r="X16" i="46"/>
  <c r="W16" i="46"/>
  <c r="V16" i="46"/>
  <c r="Z7" i="37"/>
  <c r="AA7" i="37" s="1"/>
  <c r="T16" i="46"/>
  <c r="Z16" i="46"/>
  <c r="Y16" i="46" s="1"/>
  <c r="AF11" i="49" s="1"/>
  <c r="AG11" i="52" s="1"/>
  <c r="X14" i="45"/>
  <c r="Z18" i="85"/>
  <c r="AB18" i="85" s="1"/>
  <c r="U14" i="45"/>
  <c r="U18" i="46"/>
  <c r="AA18" i="46" s="1"/>
  <c r="W15" i="58"/>
  <c r="W14" i="45"/>
  <c r="AG9" i="72"/>
  <c r="AI9" i="72" s="1"/>
  <c r="Z18" i="45"/>
  <c r="Y18" i="45" s="1"/>
  <c r="AB13" i="49" s="1"/>
  <c r="AC13" i="52" s="1"/>
  <c r="AB9" i="72"/>
  <c r="AD9" i="72" s="1"/>
  <c r="AL9" i="72"/>
  <c r="AN9" i="72" s="1"/>
  <c r="Z18" i="41"/>
  <c r="AA18" i="41" s="1"/>
  <c r="V15" i="46"/>
  <c r="U18" i="58"/>
  <c r="AB18" i="58" s="1"/>
  <c r="U14" i="85"/>
  <c r="U15" i="37"/>
  <c r="V15" i="37"/>
  <c r="Z18" i="44"/>
  <c r="AA18" i="44" s="1"/>
  <c r="V6" i="45"/>
  <c r="V15" i="85"/>
  <c r="X6" i="37"/>
  <c r="Z18" i="72"/>
  <c r="Y18" i="72" s="1"/>
  <c r="AH13" i="49" s="1"/>
  <c r="AI13" i="52" s="1"/>
  <c r="Z18" i="37"/>
  <c r="AA18" i="37" s="1"/>
  <c r="W15" i="41"/>
  <c r="X14" i="85"/>
  <c r="V15" i="78"/>
  <c r="U15" i="85"/>
  <c r="V15" i="41"/>
  <c r="W15" i="85"/>
  <c r="U15" i="41"/>
  <c r="X6" i="78"/>
  <c r="W15" i="78"/>
  <c r="U14" i="58"/>
  <c r="W14" i="85"/>
  <c r="U15" i="78"/>
  <c r="X15" i="85"/>
  <c r="W15" i="72"/>
  <c r="X14" i="46"/>
  <c r="X15" i="41"/>
  <c r="X14" i="41"/>
  <c r="T13" i="45"/>
  <c r="W13" i="45"/>
  <c r="U13" i="45"/>
  <c r="V13" i="45"/>
  <c r="U15" i="46"/>
  <c r="V6" i="46"/>
  <c r="W15" i="46"/>
  <c r="U14" i="41"/>
  <c r="U6" i="85"/>
  <c r="W6" i="41"/>
  <c r="V14" i="41"/>
  <c r="W13" i="58"/>
  <c r="T13" i="58"/>
  <c r="V13" i="58"/>
  <c r="U13" i="58"/>
  <c r="X13" i="45"/>
  <c r="V14" i="44"/>
  <c r="U13" i="46"/>
  <c r="X13" i="46"/>
  <c r="W13" i="46"/>
  <c r="T13" i="46"/>
  <c r="V13" i="46"/>
  <c r="V6" i="85"/>
  <c r="V15" i="58"/>
  <c r="X6" i="85"/>
  <c r="X14" i="44"/>
  <c r="W14" i="37"/>
  <c r="W6" i="44"/>
  <c r="V13" i="37"/>
  <c r="U13" i="37"/>
  <c r="T13" i="37"/>
  <c r="W13" i="37"/>
  <c r="X13" i="58"/>
  <c r="V13" i="44"/>
  <c r="X13" i="44"/>
  <c r="U13" i="44"/>
  <c r="W13" i="44"/>
  <c r="T13" i="44"/>
  <c r="U15" i="58"/>
  <c r="X6" i="45"/>
  <c r="V13" i="85"/>
  <c r="T13" i="85"/>
  <c r="W13" i="85"/>
  <c r="X13" i="85"/>
  <c r="U13" i="85"/>
  <c r="U6" i="72"/>
  <c r="W6" i="37"/>
  <c r="W6" i="78"/>
  <c r="V14" i="58"/>
  <c r="X15" i="78"/>
  <c r="X13" i="72"/>
  <c r="U13" i="72"/>
  <c r="V13" i="72"/>
  <c r="W13" i="72"/>
  <c r="T13" i="72"/>
  <c r="X13" i="78"/>
  <c r="V13" i="78"/>
  <c r="T13" i="78"/>
  <c r="U13" i="78"/>
  <c r="W13" i="78"/>
  <c r="V14" i="45"/>
  <c r="W14" i="44"/>
  <c r="U6" i="45"/>
  <c r="W13" i="41"/>
  <c r="U13" i="41"/>
  <c r="T13" i="41"/>
  <c r="V13" i="41"/>
  <c r="Z6" i="58"/>
  <c r="T6" i="58"/>
  <c r="AA9" i="44"/>
  <c r="AK9" i="44"/>
  <c r="AF9" i="44"/>
  <c r="Y9" i="44"/>
  <c r="AC12" i="49" s="1"/>
  <c r="AD12" i="52" s="1"/>
  <c r="V34" i="78"/>
  <c r="AB10" i="78"/>
  <c r="AG10" i="78"/>
  <c r="Y10" i="78"/>
  <c r="AI13" i="49" s="1"/>
  <c r="Z17" i="41"/>
  <c r="Z5" i="44"/>
  <c r="AB10" i="72"/>
  <c r="AG10" i="72"/>
  <c r="AL10" i="72"/>
  <c r="Y10" i="72"/>
  <c r="AG13" i="49" s="1"/>
  <c r="AH13" i="52" s="1"/>
  <c r="AK26" i="45"/>
  <c r="Z15" i="44"/>
  <c r="T15" i="44"/>
  <c r="Z14" i="72"/>
  <c r="T14" i="72"/>
  <c r="T14" i="78"/>
  <c r="Z14" i="78"/>
  <c r="Z17" i="44"/>
  <c r="AK24" i="37"/>
  <c r="AM24" i="37" s="1"/>
  <c r="AA10" i="44"/>
  <c r="AK10" i="44"/>
  <c r="AF10" i="44"/>
  <c r="Y10" i="44"/>
  <c r="AC13" i="49" s="1"/>
  <c r="AD13" i="52" s="1"/>
  <c r="T30" i="45"/>
  <c r="Z13" i="45"/>
  <c r="X23" i="37"/>
  <c r="U15" i="44"/>
  <c r="Z5" i="85"/>
  <c r="Z6" i="37"/>
  <c r="T6" i="37"/>
  <c r="AF24" i="41"/>
  <c r="X6" i="41"/>
  <c r="W15" i="44"/>
  <c r="Y7" i="46"/>
  <c r="AE10" i="49" s="1"/>
  <c r="AF10" i="52" s="1"/>
  <c r="AA7" i="44"/>
  <c r="AF7" i="44"/>
  <c r="AK7" i="44"/>
  <c r="Y7" i="44"/>
  <c r="AC10" i="49" s="1"/>
  <c r="AD10" i="52" s="1"/>
  <c r="U14" i="72"/>
  <c r="AF33" i="44"/>
  <c r="Y7" i="85"/>
  <c r="W34" i="46"/>
  <c r="X32" i="37"/>
  <c r="U22" i="58"/>
  <c r="W30" i="72"/>
  <c r="T15" i="37"/>
  <c r="Z15" i="37"/>
  <c r="Z14" i="37"/>
  <c r="T14" i="37"/>
  <c r="AB10" i="58"/>
  <c r="AL10" i="58"/>
  <c r="AG10" i="58"/>
  <c r="Y10" i="58"/>
  <c r="Y13" i="49" s="1"/>
  <c r="Z13" i="52" s="1"/>
  <c r="AA10" i="45"/>
  <c r="AF10" i="45"/>
  <c r="AK10" i="45"/>
  <c r="Y10" i="45"/>
  <c r="AA13" i="49" s="1"/>
  <c r="AB13" i="52" s="1"/>
  <c r="Z5" i="72"/>
  <c r="AF24" i="37"/>
  <c r="Z8" i="46"/>
  <c r="AG27" i="58"/>
  <c r="U34" i="41"/>
  <c r="U6" i="46"/>
  <c r="T30" i="37"/>
  <c r="Z13" i="37"/>
  <c r="V25" i="37"/>
  <c r="V25" i="78"/>
  <c r="W25" i="37"/>
  <c r="X15" i="72"/>
  <c r="X25" i="85"/>
  <c r="X23" i="58"/>
  <c r="W23" i="85"/>
  <c r="V32" i="37"/>
  <c r="T6" i="45"/>
  <c r="Z6" i="45"/>
  <c r="X34" i="58"/>
  <c r="V6" i="44"/>
  <c r="V15" i="45"/>
  <c r="AL35" i="78"/>
  <c r="AL18" i="78" s="1"/>
  <c r="Z8" i="41"/>
  <c r="Y7" i="72"/>
  <c r="AG10" i="49" s="1"/>
  <c r="AH10" i="52" s="1"/>
  <c r="AA10" i="41"/>
  <c r="AF10" i="41"/>
  <c r="AK10" i="41"/>
  <c r="Y10" i="41"/>
  <c r="W13" i="49" s="1"/>
  <c r="X13" i="52" s="1"/>
  <c r="X6" i="72"/>
  <c r="Z17" i="46"/>
  <c r="U30" i="45"/>
  <c r="V34" i="45"/>
  <c r="AF24" i="44"/>
  <c r="X14" i="58"/>
  <c r="W34" i="85"/>
  <c r="W34" i="78"/>
  <c r="U22" i="41"/>
  <c r="U32" i="45"/>
  <c r="AF33" i="41"/>
  <c r="T15" i="85"/>
  <c r="Z15" i="85"/>
  <c r="Z8" i="58"/>
  <c r="W14" i="58"/>
  <c r="Z14" i="85"/>
  <c r="T14" i="85"/>
  <c r="V30" i="37"/>
  <c r="X30" i="45"/>
  <c r="AA24" i="37"/>
  <c r="X22" i="58"/>
  <c r="X22" i="78"/>
  <c r="AL27" i="58"/>
  <c r="AO27" i="58" s="1"/>
  <c r="U34" i="44"/>
  <c r="U6" i="41"/>
  <c r="U6" i="78"/>
  <c r="W6" i="58"/>
  <c r="T30" i="85"/>
  <c r="Z13" i="85"/>
  <c r="V22" i="46"/>
  <c r="W22" i="85"/>
  <c r="V25" i="44"/>
  <c r="W25" i="58"/>
  <c r="W25" i="78"/>
  <c r="V14" i="37"/>
  <c r="X15" i="37"/>
  <c r="X25" i="72"/>
  <c r="AC27" i="41"/>
  <c r="AD27" i="41"/>
  <c r="AB27" i="41"/>
  <c r="AE27" i="41"/>
  <c r="AG35" i="78"/>
  <c r="AL27" i="72"/>
  <c r="AO27" i="72" s="1"/>
  <c r="Z8" i="78"/>
  <c r="AL35" i="85"/>
  <c r="AP35" i="85" s="1"/>
  <c r="Z5" i="37"/>
  <c r="V14" i="78"/>
  <c r="AK35" i="46"/>
  <c r="AL35" i="46" s="1"/>
  <c r="V6" i="37"/>
  <c r="AB9" i="58"/>
  <c r="AL9" i="58"/>
  <c r="AG9" i="58"/>
  <c r="Y9" i="58"/>
  <c r="Y12" i="49" s="1"/>
  <c r="Z12" i="52" s="1"/>
  <c r="AA10" i="37"/>
  <c r="AF10" i="37"/>
  <c r="AK10" i="37"/>
  <c r="Y10" i="37"/>
  <c r="U13" i="49" s="1"/>
  <c r="V13" i="52" s="1"/>
  <c r="AF35" i="45"/>
  <c r="AG35" i="72"/>
  <c r="W6" i="46"/>
  <c r="V22" i="58"/>
  <c r="AA10" i="46"/>
  <c r="AF10" i="46"/>
  <c r="AK10" i="46"/>
  <c r="Y10" i="46"/>
  <c r="AE13" i="49" s="1"/>
  <c r="AF13" i="52" s="1"/>
  <c r="U15" i="72"/>
  <c r="AF35" i="46"/>
  <c r="T6" i="72"/>
  <c r="Z6" i="72"/>
  <c r="T6" i="78"/>
  <c r="Z6" i="78"/>
  <c r="X34" i="46"/>
  <c r="V15" i="72"/>
  <c r="X6" i="46"/>
  <c r="Z5" i="41"/>
  <c r="W15" i="37"/>
  <c r="AB27" i="72"/>
  <c r="V34" i="72"/>
  <c r="U14" i="78"/>
  <c r="U25" i="37"/>
  <c r="AA35" i="41"/>
  <c r="X14" i="72"/>
  <c r="W34" i="72"/>
  <c r="X32" i="45"/>
  <c r="U22" i="72"/>
  <c r="AK24" i="46"/>
  <c r="AL24" i="46" s="1"/>
  <c r="U32" i="85"/>
  <c r="Z15" i="58"/>
  <c r="T15" i="58"/>
  <c r="W14" i="72"/>
  <c r="Z14" i="41"/>
  <c r="T14" i="41"/>
  <c r="Z5" i="46"/>
  <c r="D198" i="83"/>
  <c r="D197" i="83"/>
  <c r="AB35" i="72"/>
  <c r="AA16" i="41"/>
  <c r="AF16" i="41"/>
  <c r="AK16" i="41"/>
  <c r="Y16" i="41"/>
  <c r="X11" i="49" s="1"/>
  <c r="Y11" i="52" s="1"/>
  <c r="AA26" i="37"/>
  <c r="W32" i="85"/>
  <c r="X30" i="37"/>
  <c r="U23" i="58"/>
  <c r="X22" i="41"/>
  <c r="V23" i="37"/>
  <c r="U34" i="58"/>
  <c r="U34" i="78"/>
  <c r="U6" i="44"/>
  <c r="W6" i="72"/>
  <c r="Y18" i="58"/>
  <c r="Z13" i="49" s="1"/>
  <c r="AA13" i="52" s="1"/>
  <c r="T30" i="44"/>
  <c r="Z13" i="44"/>
  <c r="V22" i="41"/>
  <c r="W22" i="44"/>
  <c r="V25" i="41"/>
  <c r="W25" i="85"/>
  <c r="V14" i="85"/>
  <c r="X15" i="46"/>
  <c r="X25" i="58"/>
  <c r="X25" i="78"/>
  <c r="V6" i="58"/>
  <c r="AA24" i="41"/>
  <c r="AL33" i="58"/>
  <c r="AP33" i="58" s="1"/>
  <c r="T15" i="72"/>
  <c r="Z15" i="72"/>
  <c r="Y16" i="45"/>
  <c r="AB11" i="49" s="1"/>
  <c r="AC11" i="52" s="1"/>
  <c r="Z14" i="46"/>
  <c r="T14" i="46"/>
  <c r="Z8" i="44"/>
  <c r="AF26" i="37"/>
  <c r="T30" i="72"/>
  <c r="Z13" i="72"/>
  <c r="V25" i="46"/>
  <c r="X25" i="41"/>
  <c r="Z8" i="72"/>
  <c r="AB7" i="78"/>
  <c r="AG7" i="78"/>
  <c r="Y7" i="78"/>
  <c r="AI10" i="49" s="1"/>
  <c r="AG33" i="85"/>
  <c r="T6" i="46"/>
  <c r="Z6" i="46"/>
  <c r="X34" i="37"/>
  <c r="Z17" i="72"/>
  <c r="X6" i="58"/>
  <c r="AG27" i="72"/>
  <c r="Z5" i="45"/>
  <c r="U14" i="46"/>
  <c r="AA24" i="44"/>
  <c r="Z17" i="85"/>
  <c r="T15" i="45"/>
  <c r="Z15" i="45"/>
  <c r="AA9" i="46"/>
  <c r="AF9" i="46"/>
  <c r="AK9" i="46"/>
  <c r="Y9" i="46"/>
  <c r="AE12" i="49" s="1"/>
  <c r="AF12" i="52" s="1"/>
  <c r="W14" i="78"/>
  <c r="AK26" i="37"/>
  <c r="AL26" i="37" s="1"/>
  <c r="AB9" i="85"/>
  <c r="AG9" i="85"/>
  <c r="AL9" i="85"/>
  <c r="Y9" i="85"/>
  <c r="U34" i="72"/>
  <c r="T30" i="41"/>
  <c r="Z13" i="41"/>
  <c r="X15" i="44"/>
  <c r="AA35" i="46"/>
  <c r="T6" i="85"/>
  <c r="Z6" i="85"/>
  <c r="V6" i="41"/>
  <c r="X6" i="44"/>
  <c r="AG18" i="78"/>
  <c r="AB18" i="78"/>
  <c r="Y18" i="78"/>
  <c r="AJ13" i="49" s="1"/>
  <c r="AG33" i="78"/>
  <c r="U30" i="41"/>
  <c r="Z8" i="37"/>
  <c r="V34" i="37"/>
  <c r="U14" i="44"/>
  <c r="U25" i="46"/>
  <c r="U25" i="78"/>
  <c r="Z17" i="45"/>
  <c r="AK35" i="41"/>
  <c r="AN35" i="41" s="1"/>
  <c r="Z8" i="85"/>
  <c r="X14" i="37"/>
  <c r="X14" i="78"/>
  <c r="W34" i="58"/>
  <c r="AG24" i="85"/>
  <c r="AF35" i="37"/>
  <c r="X32" i="58"/>
  <c r="AG31" i="58"/>
  <c r="AB10" i="85"/>
  <c r="AL10" i="85"/>
  <c r="AG10" i="85"/>
  <c r="Y10" i="85"/>
  <c r="U22" i="85"/>
  <c r="AF24" i="46"/>
  <c r="Z15" i="46"/>
  <c r="T15" i="46"/>
  <c r="AK31" i="45"/>
  <c r="Z8" i="45"/>
  <c r="W14" i="41"/>
  <c r="T14" i="45"/>
  <c r="Z14" i="45"/>
  <c r="Z17" i="58"/>
  <c r="AL33" i="72"/>
  <c r="AM33" i="72" s="1"/>
  <c r="X22" i="72"/>
  <c r="AF31" i="37"/>
  <c r="AA26" i="44"/>
  <c r="U34" i="37"/>
  <c r="U6" i="58"/>
  <c r="W6" i="85"/>
  <c r="T30" i="46"/>
  <c r="Z13" i="46"/>
  <c r="T30" i="78"/>
  <c r="Z13" i="78"/>
  <c r="V22" i="37"/>
  <c r="W22" i="37"/>
  <c r="V25" i="85"/>
  <c r="W25" i="44"/>
  <c r="V14" i="72"/>
  <c r="X15" i="45"/>
  <c r="X25" i="44"/>
  <c r="X34" i="78"/>
  <c r="T6" i="41"/>
  <c r="Z6" i="41"/>
  <c r="AA9" i="45"/>
  <c r="AF9" i="45"/>
  <c r="AK9" i="45"/>
  <c r="Y9" i="45"/>
  <c r="AA12" i="49" s="1"/>
  <c r="AB12" i="52" s="1"/>
  <c r="AK24" i="44"/>
  <c r="AL24" i="44" s="1"/>
  <c r="AC27" i="78"/>
  <c r="AF27" i="78"/>
  <c r="AE27" i="78"/>
  <c r="AD27" i="78"/>
  <c r="V30" i="45"/>
  <c r="Y7" i="41"/>
  <c r="W10" i="49" s="1"/>
  <c r="X10" i="52" s="1"/>
  <c r="V15" i="44"/>
  <c r="U25" i="41"/>
  <c r="AA9" i="41"/>
  <c r="AF9" i="41"/>
  <c r="AK9" i="41"/>
  <c r="Y9" i="41"/>
  <c r="W12" i="49" s="1"/>
  <c r="X12" i="52" s="1"/>
  <c r="T14" i="44"/>
  <c r="Z14" i="44"/>
  <c r="AA31" i="44"/>
  <c r="U23" i="85"/>
  <c r="AB35" i="85"/>
  <c r="W22" i="58"/>
  <c r="X25" i="37"/>
  <c r="W23" i="58"/>
  <c r="U15" i="45"/>
  <c r="Z17" i="37"/>
  <c r="V32" i="85"/>
  <c r="Z6" i="44"/>
  <c r="T6" i="44"/>
  <c r="Y16" i="78"/>
  <c r="AJ11" i="49" s="1"/>
  <c r="X34" i="72"/>
  <c r="V6" i="72"/>
  <c r="V6" i="78"/>
  <c r="AB33" i="78"/>
  <c r="W15" i="45"/>
  <c r="AF35" i="44"/>
  <c r="U30" i="37"/>
  <c r="V34" i="41"/>
  <c r="U14" i="37"/>
  <c r="AF35" i="41"/>
  <c r="W34" i="41"/>
  <c r="AB24" i="85"/>
  <c r="AA35" i="37"/>
  <c r="X32" i="85"/>
  <c r="AB31" i="58"/>
  <c r="U22" i="78"/>
  <c r="W30" i="45"/>
  <c r="AA24" i="46"/>
  <c r="U32" i="37"/>
  <c r="Z15" i="41"/>
  <c r="T15" i="41"/>
  <c r="T15" i="78"/>
  <c r="Z15" i="78"/>
  <c r="Z17" i="78"/>
  <c r="W14" i="46"/>
  <c r="T14" i="58"/>
  <c r="Z14" i="58"/>
  <c r="Y18" i="46"/>
  <c r="AF13" i="49" s="1"/>
  <c r="AG13" i="52" s="1"/>
  <c r="W32" i="37"/>
  <c r="AB9" i="78"/>
  <c r="AG9" i="78"/>
  <c r="Y9" i="78"/>
  <c r="AI12" i="49" s="1"/>
  <c r="AB33" i="72"/>
  <c r="X22" i="46"/>
  <c r="V23" i="58"/>
  <c r="AA9" i="37"/>
  <c r="AF9" i="37"/>
  <c r="AK9" i="37"/>
  <c r="Y9" i="37"/>
  <c r="U12" i="49" s="1"/>
  <c r="V12" i="52" s="1"/>
  <c r="AK31" i="37"/>
  <c r="AN31" i="37" s="1"/>
  <c r="U34" i="45"/>
  <c r="U6" i="37"/>
  <c r="W6" i="45"/>
  <c r="T30" i="58"/>
  <c r="Z13" i="58"/>
  <c r="V22" i="44"/>
  <c r="V22" i="78"/>
  <c r="W22" i="41"/>
  <c r="V25" i="72"/>
  <c r="W25" i="41"/>
  <c r="V14" i="46"/>
  <c r="X15" i="58"/>
  <c r="X25" i="45"/>
  <c r="AN26" i="78" l="1"/>
  <c r="AN9" i="78" s="1"/>
  <c r="AO26" i="78"/>
  <c r="AO9" i="78" s="1"/>
  <c r="AH26" i="78"/>
  <c r="AC31" i="46"/>
  <c r="AD27" i="37"/>
  <c r="AB24" i="45"/>
  <c r="AO26" i="41"/>
  <c r="AM26" i="78"/>
  <c r="AM9" i="78" s="1"/>
  <c r="AE31" i="46"/>
  <c r="AB31" i="46"/>
  <c r="AI31" i="46"/>
  <c r="AL26" i="44"/>
  <c r="AP33" i="78"/>
  <c r="AP16" i="78" s="1"/>
  <c r="AC31" i="41"/>
  <c r="AM35" i="45"/>
  <c r="AI24" i="72"/>
  <c r="AG31" i="46"/>
  <c r="AN31" i="78"/>
  <c r="AN14" i="78" s="1"/>
  <c r="AO33" i="78"/>
  <c r="AO16" i="78" s="1"/>
  <c r="AN31" i="72"/>
  <c r="AI27" i="45"/>
  <c r="AM31" i="46"/>
  <c r="AJ31" i="46"/>
  <c r="AO31" i="46"/>
  <c r="AM33" i="78"/>
  <c r="AM16" i="78" s="1"/>
  <c r="AL31" i="46"/>
  <c r="AB33" i="46"/>
  <c r="AC33" i="44"/>
  <c r="AE27" i="37"/>
  <c r="AJ27" i="78"/>
  <c r="AN33" i="78"/>
  <c r="AN16" i="78" s="1"/>
  <c r="AE24" i="45"/>
  <c r="AD31" i="41"/>
  <c r="AK33" i="72"/>
  <c r="AO35" i="44"/>
  <c r="AH26" i="41"/>
  <c r="AE27" i="45"/>
  <c r="AM35" i="37"/>
  <c r="AI31" i="72"/>
  <c r="AL24" i="45"/>
  <c r="AC31" i="45"/>
  <c r="AE31" i="72"/>
  <c r="AJ27" i="44"/>
  <c r="AN33" i="45"/>
  <c r="AE31" i="37"/>
  <c r="AF27" i="85"/>
  <c r="AC26" i="41"/>
  <c r="AD27" i="46"/>
  <c r="AI27" i="44"/>
  <c r="AH27" i="44"/>
  <c r="AN27" i="41"/>
  <c r="AE35" i="78"/>
  <c r="AN33" i="44"/>
  <c r="AC33" i="58"/>
  <c r="AG24" i="45"/>
  <c r="AI26" i="58"/>
  <c r="AL31" i="41"/>
  <c r="AB26" i="41"/>
  <c r="AC27" i="46"/>
  <c r="AJ26" i="78"/>
  <c r="AB31" i="37"/>
  <c r="AD33" i="46"/>
  <c r="AD27" i="85"/>
  <c r="AM27" i="44"/>
  <c r="AH24" i="78"/>
  <c r="AJ24" i="45"/>
  <c r="AB5" i="78"/>
  <c r="AF5" i="78" s="1"/>
  <c r="AO27" i="85"/>
  <c r="AO31" i="44"/>
  <c r="AD26" i="41"/>
  <c r="AK31" i="78"/>
  <c r="AI26" i="78"/>
  <c r="AE33" i="46"/>
  <c r="AC27" i="85"/>
  <c r="AG27" i="45"/>
  <c r="AI24" i="45"/>
  <c r="Y5" i="78"/>
  <c r="AI8" i="49" s="1"/>
  <c r="AB27" i="46"/>
  <c r="AB33" i="41"/>
  <c r="AM31" i="44"/>
  <c r="AN31" i="41"/>
  <c r="AM31" i="41"/>
  <c r="AD31" i="37"/>
  <c r="AJ27" i="45"/>
  <c r="AI26" i="41"/>
  <c r="AI31" i="78"/>
  <c r="AO24" i="45"/>
  <c r="AO33" i="41"/>
  <c r="AF24" i="78"/>
  <c r="AC27" i="45"/>
  <c r="AN35" i="37"/>
  <c r="AD31" i="45"/>
  <c r="AP26" i="72"/>
  <c r="AB32" i="78"/>
  <c r="AC32" i="78" s="1"/>
  <c r="AA32" i="46"/>
  <c r="AE32" i="46" s="1"/>
  <c r="AG26" i="41"/>
  <c r="AM33" i="41"/>
  <c r="AN33" i="85"/>
  <c r="AO35" i="37"/>
  <c r="AE31" i="45"/>
  <c r="AI35" i="58"/>
  <c r="AE33" i="44"/>
  <c r="AF23" i="41"/>
  <c r="AH23" i="41" s="1"/>
  <c r="AM26" i="72"/>
  <c r="AO26" i="72"/>
  <c r="AO33" i="85"/>
  <c r="AH26" i="72"/>
  <c r="AC31" i="72"/>
  <c r="AB33" i="44"/>
  <c r="AF24" i="58"/>
  <c r="AP31" i="78"/>
  <c r="AP14" i="78" s="1"/>
  <c r="AD24" i="45"/>
  <c r="AD26" i="46"/>
  <c r="AD33" i="45"/>
  <c r="AH33" i="46"/>
  <c r="AJ27" i="85"/>
  <c r="AE26" i="46"/>
  <c r="AO26" i="46"/>
  <c r="AF26" i="58"/>
  <c r="AL27" i="45"/>
  <c r="AL35" i="44"/>
  <c r="AL25" i="58"/>
  <c r="AM25" i="58" s="1"/>
  <c r="AF32" i="46"/>
  <c r="AH32" i="46" s="1"/>
  <c r="AA23" i="41"/>
  <c r="AD23" i="41" s="1"/>
  <c r="AH31" i="44"/>
  <c r="AK23" i="41"/>
  <c r="AO23" i="41" s="1"/>
  <c r="AK32" i="46"/>
  <c r="AO32" i="46" s="1"/>
  <c r="AI27" i="46"/>
  <c r="AB27" i="44"/>
  <c r="AF33" i="85"/>
  <c r="AJ27" i="37"/>
  <c r="AF24" i="72"/>
  <c r="AD26" i="72"/>
  <c r="AE33" i="37"/>
  <c r="AN24" i="85"/>
  <c r="AP24" i="85"/>
  <c r="AO24" i="78"/>
  <c r="AO7" i="78" s="1"/>
  <c r="AO24" i="46"/>
  <c r="AN35" i="58"/>
  <c r="AE35" i="44"/>
  <c r="AC26" i="72"/>
  <c r="AO35" i="78"/>
  <c r="AO18" i="78" s="1"/>
  <c r="AN24" i="78"/>
  <c r="AN7" i="78" s="1"/>
  <c r="AO31" i="58"/>
  <c r="AG32" i="72"/>
  <c r="AH32" i="72" s="1"/>
  <c r="AO27" i="37"/>
  <c r="AG16" i="72"/>
  <c r="AJ16" i="72" s="1"/>
  <c r="AP24" i="78"/>
  <c r="AP7" i="78" s="1"/>
  <c r="AO35" i="58"/>
  <c r="AC35" i="44"/>
  <c r="AG27" i="46"/>
  <c r="AF26" i="72"/>
  <c r="AD27" i="44"/>
  <c r="AO24" i="85"/>
  <c r="AM27" i="37"/>
  <c r="AA23" i="45"/>
  <c r="AC23" i="45" s="1"/>
  <c r="AO27" i="44"/>
  <c r="AB35" i="44"/>
  <c r="AP35" i="58"/>
  <c r="AJ27" i="46"/>
  <c r="AI31" i="41"/>
  <c r="AC27" i="44"/>
  <c r="AN27" i="37"/>
  <c r="AO26" i="85"/>
  <c r="AO26" i="44"/>
  <c r="AI27" i="85"/>
  <c r="AC27" i="58"/>
  <c r="AH27" i="78"/>
  <c r="AH24" i="72"/>
  <c r="AL5" i="58"/>
  <c r="AN5" i="58" s="1"/>
  <c r="AD26" i="58"/>
  <c r="AO27" i="45"/>
  <c r="AC26" i="45"/>
  <c r="AI33" i="72"/>
  <c r="AN26" i="41"/>
  <c r="AM26" i="46"/>
  <c r="AP26" i="78"/>
  <c r="AP9" i="78" s="1"/>
  <c r="AO24" i="41"/>
  <c r="AB23" i="85"/>
  <c r="AF23" i="85" s="1"/>
  <c r="AG27" i="37"/>
  <c r="AG33" i="46"/>
  <c r="AK27" i="85"/>
  <c r="AD26" i="85"/>
  <c r="AN26" i="44"/>
  <c r="AJ26" i="85"/>
  <c r="AE26" i="78"/>
  <c r="AK27" i="78"/>
  <c r="AN26" i="85"/>
  <c r="AK24" i="72"/>
  <c r="AE31" i="85"/>
  <c r="AM24" i="78"/>
  <c r="AM7" i="78" s="1"/>
  <c r="AH31" i="41"/>
  <c r="AH33" i="37"/>
  <c r="AE26" i="58"/>
  <c r="AM27" i="45"/>
  <c r="AG27" i="41"/>
  <c r="AJ26" i="45"/>
  <c r="AJ33" i="72"/>
  <c r="AD35" i="45"/>
  <c r="AL26" i="41"/>
  <c r="AF23" i="46"/>
  <c r="AH23" i="46" s="1"/>
  <c r="AK31" i="85"/>
  <c r="AC35" i="58"/>
  <c r="AJ35" i="58"/>
  <c r="AB35" i="45"/>
  <c r="AM27" i="41"/>
  <c r="AB23" i="78"/>
  <c r="AD23" i="78" s="1"/>
  <c r="AA32" i="45"/>
  <c r="AC32" i="45" s="1"/>
  <c r="AN26" i="46"/>
  <c r="AN27" i="44"/>
  <c r="AG16" i="85"/>
  <c r="AI16" i="85" s="1"/>
  <c r="AO27" i="78"/>
  <c r="AO10" i="78" s="1"/>
  <c r="AD26" i="78"/>
  <c r="AB33" i="37"/>
  <c r="AC24" i="58"/>
  <c r="AB27" i="37"/>
  <c r="AE31" i="78"/>
  <c r="AJ24" i="78"/>
  <c r="AJ33" i="46"/>
  <c r="AE26" i="85"/>
  <c r="AH24" i="58"/>
  <c r="AN31" i="44"/>
  <c r="AF26" i="78"/>
  <c r="AM31" i="72"/>
  <c r="AC31" i="85"/>
  <c r="AE33" i="41"/>
  <c r="AO31" i="72"/>
  <c r="AB26" i="46"/>
  <c r="AN33" i="41"/>
  <c r="AB31" i="41"/>
  <c r="AH31" i="72"/>
  <c r="AM26" i="85"/>
  <c r="AI26" i="72"/>
  <c r="AN24" i="45"/>
  <c r="AG31" i="41"/>
  <c r="AC33" i="37"/>
  <c r="AD27" i="45"/>
  <c r="AG26" i="46"/>
  <c r="AD31" i="72"/>
  <c r="AH26" i="44"/>
  <c r="AE33" i="85"/>
  <c r="AI31" i="45"/>
  <c r="AI26" i="45"/>
  <c r="AI33" i="45"/>
  <c r="AD24" i="58"/>
  <c r="AJ35" i="85"/>
  <c r="AL14" i="78"/>
  <c r="AK22" i="45"/>
  <c r="AO22" i="45" s="1"/>
  <c r="AP27" i="85"/>
  <c r="AM27" i="85"/>
  <c r="AB34" i="58"/>
  <c r="AD34" i="58" s="1"/>
  <c r="AI24" i="78"/>
  <c r="AF26" i="85"/>
  <c r="AF31" i="85"/>
  <c r="AC33" i="41"/>
  <c r="AF34" i="44"/>
  <c r="AH34" i="44" s="1"/>
  <c r="AK31" i="72"/>
  <c r="AK26" i="72"/>
  <c r="AC33" i="85"/>
  <c r="AH26" i="45"/>
  <c r="AA25" i="41"/>
  <c r="AD25" i="41" s="1"/>
  <c r="AF31" i="78"/>
  <c r="AA23" i="37"/>
  <c r="AB23" i="37" s="1"/>
  <c r="AF23" i="45"/>
  <c r="AG23" i="45" s="1"/>
  <c r="AL24" i="41"/>
  <c r="AJ33" i="58"/>
  <c r="AM27" i="78"/>
  <c r="AM10" i="78" s="1"/>
  <c r="AK23" i="44"/>
  <c r="AL23" i="44" s="1"/>
  <c r="AB16" i="78"/>
  <c r="AF16" i="78" s="1"/>
  <c r="AL32" i="72"/>
  <c r="AP32" i="72" s="1"/>
  <c r="AM31" i="78"/>
  <c r="AM14" i="78" s="1"/>
  <c r="AO33" i="46"/>
  <c r="AL33" i="46"/>
  <c r="AM33" i="46"/>
  <c r="AN33" i="46"/>
  <c r="AA32" i="37"/>
  <c r="AC32" i="37" s="1"/>
  <c r="AI31" i="85"/>
  <c r="AN27" i="72"/>
  <c r="AE24" i="72"/>
  <c r="AI26" i="85"/>
  <c r="AK23" i="45"/>
  <c r="AN23" i="45" s="1"/>
  <c r="AD35" i="58"/>
  <c r="AD24" i="78"/>
  <c r="AN35" i="78"/>
  <c r="AN18" i="78" s="1"/>
  <c r="AJ26" i="46"/>
  <c r="AI33" i="37"/>
  <c r="AB26" i="45"/>
  <c r="AJ27" i="41"/>
  <c r="AD33" i="58"/>
  <c r="AK33" i="58"/>
  <c r="AP31" i="58"/>
  <c r="AC35" i="78"/>
  <c r="AH35" i="85"/>
  <c r="AA22" i="45"/>
  <c r="AD22" i="45" s="1"/>
  <c r="AA23" i="44"/>
  <c r="AD23" i="44" s="1"/>
  <c r="AB16" i="72"/>
  <c r="AD16" i="72" s="1"/>
  <c r="AF25" i="46"/>
  <c r="AH25" i="46" s="1"/>
  <c r="AK32" i="44"/>
  <c r="AO32" i="44" s="1"/>
  <c r="AF34" i="37"/>
  <c r="AH34" i="37" s="1"/>
  <c r="AB25" i="58"/>
  <c r="AC25" i="58" s="1"/>
  <c r="AO31" i="85"/>
  <c r="AL10" i="78"/>
  <c r="AN27" i="78"/>
  <c r="AN10" i="78" s="1"/>
  <c r="AB22" i="72"/>
  <c r="AC22" i="72" s="1"/>
  <c r="AB32" i="85"/>
  <c r="AF32" i="85" s="1"/>
  <c r="AM26" i="37"/>
  <c r="AJ31" i="85"/>
  <c r="AC24" i="72"/>
  <c r="AH26" i="85"/>
  <c r="AE35" i="58"/>
  <c r="AL34" i="85"/>
  <c r="AM34" i="85" s="1"/>
  <c r="AE24" i="78"/>
  <c r="AH26" i="46"/>
  <c r="AG33" i="37"/>
  <c r="AD26" i="45"/>
  <c r="AH27" i="41"/>
  <c r="AF33" i="58"/>
  <c r="AH33" i="58"/>
  <c r="AF35" i="78"/>
  <c r="AK35" i="85"/>
  <c r="AB16" i="85"/>
  <c r="AF16" i="85" s="1"/>
  <c r="AP31" i="85"/>
  <c r="AL33" i="37"/>
  <c r="AM33" i="37"/>
  <c r="AN31" i="58"/>
  <c r="AN31" i="85"/>
  <c r="AG25" i="72"/>
  <c r="AI25" i="72" s="1"/>
  <c r="AB32" i="72"/>
  <c r="AE32" i="72" s="1"/>
  <c r="AO33" i="37"/>
  <c r="AA34" i="41"/>
  <c r="AC34" i="41" s="1"/>
  <c r="AA25" i="37"/>
  <c r="AD25" i="37" s="1"/>
  <c r="AL7" i="58"/>
  <c r="AM7" i="58" s="1"/>
  <c r="AK23" i="46"/>
  <c r="AM23" i="46" s="1"/>
  <c r="AA25" i="44"/>
  <c r="AB25" i="44" s="1"/>
  <c r="AK26" i="58"/>
  <c r="AM24" i="58"/>
  <c r="AE27" i="58"/>
  <c r="AI31" i="44"/>
  <c r="AF22" i="45"/>
  <c r="AJ22" i="45" s="1"/>
  <c r="AK34" i="46"/>
  <c r="AO34" i="46" s="1"/>
  <c r="AN24" i="58"/>
  <c r="AF23" i="44"/>
  <c r="AJ23" i="44" s="1"/>
  <c r="AG25" i="85"/>
  <c r="AJ25" i="85" s="1"/>
  <c r="AG5" i="58"/>
  <c r="AI5" i="58" s="1"/>
  <c r="AN24" i="44"/>
  <c r="AE33" i="45"/>
  <c r="AL35" i="45"/>
  <c r="AM33" i="45"/>
  <c r="AO24" i="58"/>
  <c r="AB7" i="58"/>
  <c r="AC7" i="58" s="1"/>
  <c r="AA23" i="46"/>
  <c r="AE23" i="46" s="1"/>
  <c r="AJ26" i="58"/>
  <c r="AF27" i="58"/>
  <c r="AG31" i="44"/>
  <c r="AM35" i="72"/>
  <c r="AO35" i="41"/>
  <c r="AN35" i="72"/>
  <c r="Y5" i="58"/>
  <c r="Y8" i="49" s="1"/>
  <c r="Z8" i="52" s="1"/>
  <c r="AC33" i="45"/>
  <c r="AO35" i="45"/>
  <c r="AL33" i="45"/>
  <c r="AL27" i="41"/>
  <c r="AK32" i="45"/>
  <c r="AO32" i="45" s="1"/>
  <c r="AK34" i="45"/>
  <c r="AO34" i="45" s="1"/>
  <c r="AA32" i="44"/>
  <c r="AE32" i="44" s="1"/>
  <c r="AA25" i="46"/>
  <c r="AB25" i="46" s="1"/>
  <c r="AF32" i="41"/>
  <c r="AH32" i="41" s="1"/>
  <c r="AG16" i="78"/>
  <c r="AH16" i="78" s="1"/>
  <c r="AL35" i="41"/>
  <c r="AA22" i="41"/>
  <c r="AB22" i="41" s="1"/>
  <c r="AL25" i="72"/>
  <c r="AO25" i="72" s="1"/>
  <c r="AA22" i="46"/>
  <c r="AB22" i="46" s="1"/>
  <c r="AG7" i="58"/>
  <c r="AI7" i="58" s="1"/>
  <c r="AB32" i="58"/>
  <c r="AF32" i="58" s="1"/>
  <c r="AB25" i="78"/>
  <c r="AF25" i="78" s="1"/>
  <c r="AA34" i="37"/>
  <c r="AC34" i="37" s="1"/>
  <c r="AL32" i="85"/>
  <c r="AN32" i="85" s="1"/>
  <c r="AP35" i="72"/>
  <c r="AO26" i="37"/>
  <c r="AM35" i="41"/>
  <c r="AG25" i="58"/>
  <c r="AH25" i="58" s="1"/>
  <c r="AL16" i="72"/>
  <c r="AN16" i="72" s="1"/>
  <c r="AL23" i="78"/>
  <c r="AL6" i="78" s="1"/>
  <c r="AB23" i="72"/>
  <c r="AD23" i="72" s="1"/>
  <c r="AK34" i="37"/>
  <c r="AN34" i="37" s="1"/>
  <c r="AK25" i="44"/>
  <c r="AL25" i="44" s="1"/>
  <c r="AK24" i="58"/>
  <c r="Y16" i="85"/>
  <c r="AJ31" i="45"/>
  <c r="AL23" i="72"/>
  <c r="AN23" i="72" s="1"/>
  <c r="AF32" i="44"/>
  <c r="AH32" i="44" s="1"/>
  <c r="AB22" i="78"/>
  <c r="AF22" i="78" s="1"/>
  <c r="AD31" i="78"/>
  <c r="AB22" i="58"/>
  <c r="AF22" i="58" s="1"/>
  <c r="AK25" i="46"/>
  <c r="AN25" i="46" s="1"/>
  <c r="AK32" i="41"/>
  <c r="AO32" i="41" s="1"/>
  <c r="AH27" i="37"/>
  <c r="AG32" i="58"/>
  <c r="AI32" i="58" s="1"/>
  <c r="AJ24" i="58"/>
  <c r="AN24" i="41"/>
  <c r="AB34" i="78"/>
  <c r="AC34" i="78" s="1"/>
  <c r="AJ31" i="78"/>
  <c r="Y16" i="72"/>
  <c r="AH11" i="49" s="1"/>
  <c r="AI11" i="52" s="1"/>
  <c r="AK22" i="46"/>
  <c r="AL22" i="46" s="1"/>
  <c r="AP33" i="85"/>
  <c r="AB34" i="85"/>
  <c r="AC34" i="85" s="1"/>
  <c r="AL25" i="85"/>
  <c r="AM25" i="85" s="1"/>
  <c r="AL16" i="85"/>
  <c r="AM16" i="85" s="1"/>
  <c r="AK32" i="37"/>
  <c r="AO32" i="37" s="1"/>
  <c r="AK35" i="58"/>
  <c r="AG26" i="44"/>
  <c r="AH31" i="45"/>
  <c r="AN35" i="44"/>
  <c r="AJ33" i="45"/>
  <c r="AC35" i="45"/>
  <c r="AO24" i="72"/>
  <c r="AN24" i="72"/>
  <c r="AM24" i="72"/>
  <c r="AP26" i="58"/>
  <c r="AN26" i="58"/>
  <c r="AM26" i="58"/>
  <c r="AA25" i="45"/>
  <c r="AC25" i="45" s="1"/>
  <c r="AA34" i="45"/>
  <c r="AC34" i="45" s="1"/>
  <c r="AF32" i="45"/>
  <c r="AG32" i="45" s="1"/>
  <c r="AL32" i="78"/>
  <c r="AM32" i="78" s="1"/>
  <c r="AM15" i="78" s="1"/>
  <c r="AA32" i="41"/>
  <c r="AD32" i="41" s="1"/>
  <c r="AL33" i="44"/>
  <c r="AL25" i="78"/>
  <c r="AL8" i="78" s="1"/>
  <c r="AP35" i="78"/>
  <c r="AP18" i="78" s="1"/>
  <c r="AI26" i="44"/>
  <c r="AH33" i="45"/>
  <c r="AG23" i="78"/>
  <c r="AK23" i="78" s="1"/>
  <c r="AG23" i="72"/>
  <c r="AK23" i="72" s="1"/>
  <c r="AF7" i="41"/>
  <c r="AI7" i="41" s="1"/>
  <c r="AG32" i="78"/>
  <c r="AJ32" i="78" s="1"/>
  <c r="AG34" i="72"/>
  <c r="AH34" i="72" s="1"/>
  <c r="AM35" i="78"/>
  <c r="AM18" i="78" s="1"/>
  <c r="AG23" i="58"/>
  <c r="AI23" i="58" s="1"/>
  <c r="AO33" i="44"/>
  <c r="AP27" i="58"/>
  <c r="AA7" i="41"/>
  <c r="AB7" i="41" s="1"/>
  <c r="AA7" i="46"/>
  <c r="AE7" i="46" s="1"/>
  <c r="AA16" i="44"/>
  <c r="AC16" i="44" s="1"/>
  <c r="AF16" i="44"/>
  <c r="AG16" i="44" s="1"/>
  <c r="AB16" i="58"/>
  <c r="AC16" i="58" s="1"/>
  <c r="AK16" i="45"/>
  <c r="AL16" i="45" s="1"/>
  <c r="AF7" i="46"/>
  <c r="AH7" i="46" s="1"/>
  <c r="AF16" i="37"/>
  <c r="AI16" i="37" s="1"/>
  <c r="AK16" i="44"/>
  <c r="AL16" i="44" s="1"/>
  <c r="AF7" i="37"/>
  <c r="AG7" i="37" s="1"/>
  <c r="AL16" i="58"/>
  <c r="AO16" i="58" s="1"/>
  <c r="AA16" i="45"/>
  <c r="AE16" i="45" s="1"/>
  <c r="AF16" i="45"/>
  <c r="AG16" i="45" s="1"/>
  <c r="AG16" i="58"/>
  <c r="AJ16" i="58" s="1"/>
  <c r="AK16" i="37"/>
  <c r="AL16" i="37" s="1"/>
  <c r="AA16" i="37"/>
  <c r="AE16" i="37" s="1"/>
  <c r="AL7" i="72"/>
  <c r="AO7" i="72" s="1"/>
  <c r="AG7" i="72"/>
  <c r="AH7" i="72" s="1"/>
  <c r="AK18" i="41"/>
  <c r="AO18" i="41" s="1"/>
  <c r="Y7" i="45"/>
  <c r="AA10" i="49" s="1"/>
  <c r="AB10" i="52" s="1"/>
  <c r="AG18" i="85"/>
  <c r="AI18" i="85" s="1"/>
  <c r="AC9" i="72"/>
  <c r="AF7" i="45"/>
  <c r="AJ7" i="45" s="1"/>
  <c r="AE9" i="72"/>
  <c r="AG7" i="85"/>
  <c r="AJ7" i="85" s="1"/>
  <c r="AK7" i="45"/>
  <c r="AL7" i="45" s="1"/>
  <c r="Y18" i="44"/>
  <c r="AD13" i="49" s="1"/>
  <c r="AE13" i="52" s="1"/>
  <c r="AF18" i="46"/>
  <c r="AJ18" i="46" s="1"/>
  <c r="Y18" i="85"/>
  <c r="Y7" i="37"/>
  <c r="U10" i="49" s="1"/>
  <c r="V10" i="52" s="1"/>
  <c r="AL18" i="85"/>
  <c r="AN18" i="85" s="1"/>
  <c r="AL7" i="85"/>
  <c r="AM7" i="85" s="1"/>
  <c r="AF16" i="46"/>
  <c r="AH16" i="46" s="1"/>
  <c r="AA16" i="46"/>
  <c r="AE16" i="46" s="1"/>
  <c r="AK7" i="37"/>
  <c r="AN7" i="37" s="1"/>
  <c r="AK16" i="46"/>
  <c r="AM16" i="46" s="1"/>
  <c r="AF18" i="45"/>
  <c r="AI18" i="45" s="1"/>
  <c r="AA18" i="45"/>
  <c r="AB18" i="45" s="1"/>
  <c r="AK18" i="45"/>
  <c r="AN18" i="45" s="1"/>
  <c r="AK18" i="46"/>
  <c r="AN18" i="46" s="1"/>
  <c r="AK18" i="37"/>
  <c r="AN18" i="37" s="1"/>
  <c r="AH9" i="72"/>
  <c r="AJ9" i="72"/>
  <c r="AF9" i="72"/>
  <c r="AO9" i="72"/>
  <c r="AP9" i="72"/>
  <c r="AK18" i="44"/>
  <c r="AM18" i="44" s="1"/>
  <c r="AK9" i="72"/>
  <c r="AM9" i="72"/>
  <c r="AF18" i="44"/>
  <c r="AG18" i="44" s="1"/>
  <c r="AL18" i="72"/>
  <c r="AN18" i="72" s="1"/>
  <c r="AF18" i="37"/>
  <c r="AJ18" i="37" s="1"/>
  <c r="AB18" i="72"/>
  <c r="AD18" i="72" s="1"/>
  <c r="AL18" i="58"/>
  <c r="AP18" i="58" s="1"/>
  <c r="AG18" i="58"/>
  <c r="AH18" i="58" s="1"/>
  <c r="Y18" i="41"/>
  <c r="X13" i="49" s="1"/>
  <c r="Y13" i="52" s="1"/>
  <c r="AF18" i="41"/>
  <c r="AJ18" i="41" s="1"/>
  <c r="AG18" i="72"/>
  <c r="AJ18" i="72" s="1"/>
  <c r="Y18" i="37"/>
  <c r="V13" i="49" s="1"/>
  <c r="W13" i="52" s="1"/>
  <c r="AF9" i="78"/>
  <c r="AD9" i="78"/>
  <c r="AE9" i="78"/>
  <c r="AC9" i="78"/>
  <c r="AG31" i="37"/>
  <c r="AJ31" i="37"/>
  <c r="AI31" i="37"/>
  <c r="AH31" i="37"/>
  <c r="AH9" i="85"/>
  <c r="AK9" i="85"/>
  <c r="AI9" i="85"/>
  <c r="AJ9" i="85"/>
  <c r="AC24" i="44"/>
  <c r="AE24" i="44"/>
  <c r="AB24" i="44"/>
  <c r="AD24" i="44"/>
  <c r="AB30" i="72"/>
  <c r="AL30" i="72"/>
  <c r="AO30" i="72" s="1"/>
  <c r="AG30" i="72"/>
  <c r="AB10" i="37"/>
  <c r="AC10" i="37"/>
  <c r="AE10" i="37"/>
  <c r="AD10" i="37"/>
  <c r="AB5" i="72"/>
  <c r="AL5" i="72"/>
  <c r="AG5" i="72"/>
  <c r="Y5" i="72"/>
  <c r="AG8" i="49" s="1"/>
  <c r="AH8" i="52" s="1"/>
  <c r="AG7" i="44"/>
  <c r="AI7" i="44"/>
  <c r="AH7" i="44"/>
  <c r="AJ7" i="44"/>
  <c r="AH10" i="44"/>
  <c r="AI10" i="44"/>
  <c r="AJ10" i="44"/>
  <c r="AG10" i="44"/>
  <c r="AA15" i="44"/>
  <c r="AK15" i="44"/>
  <c r="AF15" i="44"/>
  <c r="Y15" i="44"/>
  <c r="AD10" i="49" s="1"/>
  <c r="AE10" i="52" s="1"/>
  <c r="AA17" i="41"/>
  <c r="AK17" i="41"/>
  <c r="AF17" i="41"/>
  <c r="Y17" i="41"/>
  <c r="X12" i="49" s="1"/>
  <c r="Y12" i="52" s="1"/>
  <c r="AA14" i="45"/>
  <c r="AF14" i="45"/>
  <c r="AK14" i="45"/>
  <c r="Y14" i="45"/>
  <c r="AB9" i="49" s="1"/>
  <c r="AC9" i="52" s="1"/>
  <c r="AA13" i="41"/>
  <c r="AF13" i="41"/>
  <c r="AK13" i="41"/>
  <c r="Y13" i="41"/>
  <c r="X8" i="49" s="1"/>
  <c r="Y8" i="52" s="1"/>
  <c r="AF18" i="85"/>
  <c r="AD18" i="85"/>
  <c r="AE18" i="85"/>
  <c r="AC18" i="85"/>
  <c r="AE26" i="37"/>
  <c r="AB26" i="37"/>
  <c r="AD26" i="37"/>
  <c r="AC26" i="37"/>
  <c r="AB15" i="58"/>
  <c r="AL15" i="58"/>
  <c r="AG15" i="58"/>
  <c r="Y15" i="58"/>
  <c r="Z10" i="49" s="1"/>
  <c r="AA10" i="52" s="1"/>
  <c r="AH24" i="44"/>
  <c r="AI24" i="44"/>
  <c r="AG24" i="44"/>
  <c r="AJ24" i="44"/>
  <c r="AG34" i="85"/>
  <c r="AP10" i="58"/>
  <c r="AN10" i="58"/>
  <c r="AO10" i="58"/>
  <c r="AM10" i="58"/>
  <c r="AN35" i="46"/>
  <c r="AA30" i="45"/>
  <c r="AK30" i="45"/>
  <c r="AF30" i="45"/>
  <c r="AA17" i="44"/>
  <c r="AF17" i="44"/>
  <c r="AK17" i="44"/>
  <c r="Y17" i="44"/>
  <c r="AD12" i="49" s="1"/>
  <c r="AE12" i="52" s="1"/>
  <c r="AO10" i="72"/>
  <c r="AP10" i="72"/>
  <c r="AN10" i="72"/>
  <c r="AM10" i="72"/>
  <c r="AB13" i="58"/>
  <c r="AG13" i="58"/>
  <c r="AL13" i="58"/>
  <c r="Y13" i="58"/>
  <c r="Z8" i="49" s="1"/>
  <c r="AA8" i="52" s="1"/>
  <c r="AG15" i="78"/>
  <c r="AB15" i="78"/>
  <c r="Y15" i="78"/>
  <c r="AJ10" i="49" s="1"/>
  <c r="AO31" i="45"/>
  <c r="AL31" i="45"/>
  <c r="AN31" i="45"/>
  <c r="AM31" i="45"/>
  <c r="AA15" i="45"/>
  <c r="AF15" i="45"/>
  <c r="AK15" i="45"/>
  <c r="Y15" i="45"/>
  <c r="AB10" i="49" s="1"/>
  <c r="AC10" i="52" s="1"/>
  <c r="AA5" i="41"/>
  <c r="AK5" i="41"/>
  <c r="AF5" i="41"/>
  <c r="Y5" i="41"/>
  <c r="W8" i="49" s="1"/>
  <c r="X8" i="52" s="1"/>
  <c r="AG34" i="78"/>
  <c r="AD18" i="37"/>
  <c r="AB18" i="37"/>
  <c r="AE18" i="37"/>
  <c r="AC18" i="37"/>
  <c r="AB30" i="58"/>
  <c r="AG30" i="58"/>
  <c r="AL30" i="58"/>
  <c r="AD31" i="58"/>
  <c r="AC31" i="58"/>
  <c r="AE31" i="58"/>
  <c r="AF31" i="58"/>
  <c r="AL16" i="41"/>
  <c r="AO16" i="41"/>
  <c r="AN16" i="41"/>
  <c r="AM16" i="41"/>
  <c r="AF34" i="45"/>
  <c r="AF22" i="46"/>
  <c r="AL34" i="78"/>
  <c r="AL17" i="78" s="1"/>
  <c r="AH33" i="44"/>
  <c r="AI33" i="44"/>
  <c r="AJ33" i="44"/>
  <c r="AG33" i="44"/>
  <c r="AM24" i="46"/>
  <c r="AB14" i="78"/>
  <c r="AG14" i="78"/>
  <c r="Y14" i="78"/>
  <c r="AJ9" i="49" s="1"/>
  <c r="AC10" i="72"/>
  <c r="AF10" i="72"/>
  <c r="AD10" i="72"/>
  <c r="AE10" i="72"/>
  <c r="AE10" i="78"/>
  <c r="AC10" i="78"/>
  <c r="AF10" i="78"/>
  <c r="AD10" i="78"/>
  <c r="AJ9" i="44"/>
  <c r="AH9" i="44"/>
  <c r="AI9" i="44"/>
  <c r="AG9" i="44"/>
  <c r="AP27" i="72"/>
  <c r="AK25" i="37"/>
  <c r="AN25" i="37" s="1"/>
  <c r="AI5" i="78"/>
  <c r="AJ5" i="78"/>
  <c r="AH5" i="78"/>
  <c r="AK5" i="78"/>
  <c r="AF25" i="45"/>
  <c r="AA15" i="46"/>
  <c r="AF15" i="46"/>
  <c r="AK15" i="46"/>
  <c r="Y15" i="46"/>
  <c r="AF10" i="49" s="1"/>
  <c r="AG10" i="52" s="1"/>
  <c r="AC10" i="85"/>
  <c r="AF10" i="85"/>
  <c r="AE10" i="85"/>
  <c r="AD10" i="85"/>
  <c r="AC35" i="46"/>
  <c r="AD35" i="46"/>
  <c r="AE35" i="46"/>
  <c r="AB35" i="46"/>
  <c r="AB15" i="72"/>
  <c r="AL15" i="72"/>
  <c r="AG15" i="72"/>
  <c r="Y15" i="72"/>
  <c r="AH10" i="49" s="1"/>
  <c r="AI10" i="52" s="1"/>
  <c r="AG16" i="41"/>
  <c r="AJ16" i="41"/>
  <c r="AH16" i="41"/>
  <c r="AI16" i="41"/>
  <c r="AB6" i="78"/>
  <c r="AG6" i="78"/>
  <c r="Y6" i="78"/>
  <c r="AI9" i="49" s="1"/>
  <c r="AC9" i="58"/>
  <c r="AD9" i="58"/>
  <c r="AE9" i="58"/>
  <c r="AF9" i="58"/>
  <c r="AM35" i="85"/>
  <c r="AO35" i="85"/>
  <c r="AN35" i="85"/>
  <c r="AB30" i="85"/>
  <c r="AG30" i="85"/>
  <c r="AL30" i="85"/>
  <c r="AG10" i="41"/>
  <c r="AJ10" i="41"/>
  <c r="AH10" i="41"/>
  <c r="AI10" i="41"/>
  <c r="AA6" i="45"/>
  <c r="AF6" i="45"/>
  <c r="AK6" i="45"/>
  <c r="Y6" i="45"/>
  <c r="AA9" i="49" s="1"/>
  <c r="AB9" i="52" s="1"/>
  <c r="AL23" i="58"/>
  <c r="AN23" i="58" s="1"/>
  <c r="AN10" i="45"/>
  <c r="AM10" i="45"/>
  <c r="AL10" i="45"/>
  <c r="AO10" i="45"/>
  <c r="AF22" i="41"/>
  <c r="AA14" i="37"/>
  <c r="AF14" i="37"/>
  <c r="AK14" i="37"/>
  <c r="Y14" i="37"/>
  <c r="V9" i="49" s="1"/>
  <c r="W9" i="52" s="1"/>
  <c r="AJ24" i="41"/>
  <c r="AH24" i="41"/>
  <c r="AI24" i="41"/>
  <c r="AG24" i="41"/>
  <c r="AF34" i="41"/>
  <c r="AL23" i="85"/>
  <c r="AO23" i="85" s="1"/>
  <c r="AG25" i="78"/>
  <c r="AL9" i="44"/>
  <c r="AO9" i="44"/>
  <c r="AM9" i="44"/>
  <c r="AN9" i="44"/>
  <c r="AB30" i="78"/>
  <c r="AG30" i="78"/>
  <c r="AL30" i="78"/>
  <c r="AH35" i="46"/>
  <c r="AI35" i="46"/>
  <c r="AG35" i="46"/>
  <c r="AJ35" i="46"/>
  <c r="AH33" i="78"/>
  <c r="AK33" i="78"/>
  <c r="AJ33" i="78"/>
  <c r="AI33" i="78"/>
  <c r="AK35" i="72"/>
  <c r="AJ35" i="72"/>
  <c r="AH35" i="72"/>
  <c r="AI35" i="72"/>
  <c r="AL24" i="37"/>
  <c r="AN24" i="37"/>
  <c r="AE35" i="41"/>
  <c r="AB35" i="41"/>
  <c r="AC35" i="41"/>
  <c r="AD35" i="41"/>
  <c r="AF7" i="85"/>
  <c r="AE7" i="85"/>
  <c r="AC7" i="85"/>
  <c r="AD7" i="85"/>
  <c r="AH10" i="78"/>
  <c r="AK10" i="78"/>
  <c r="AJ10" i="78"/>
  <c r="AI10" i="78"/>
  <c r="AD31" i="44"/>
  <c r="AB31" i="44"/>
  <c r="AC31" i="44"/>
  <c r="AE31" i="44"/>
  <c r="AB8" i="85"/>
  <c r="AL8" i="85"/>
  <c r="AG8" i="85"/>
  <c r="Y8" i="85"/>
  <c r="AB8" i="72"/>
  <c r="AG8" i="72"/>
  <c r="AL8" i="72"/>
  <c r="Y8" i="72"/>
  <c r="AG11" i="49" s="1"/>
  <c r="AH11" i="52" s="1"/>
  <c r="AN24" i="46"/>
  <c r="AO31" i="37"/>
  <c r="AL31" i="37"/>
  <c r="AD33" i="72"/>
  <c r="AE33" i="72"/>
  <c r="AC33" i="72"/>
  <c r="AF33" i="72"/>
  <c r="AG22" i="85"/>
  <c r="AB14" i="58"/>
  <c r="AG14" i="58"/>
  <c r="AL14" i="58"/>
  <c r="Y14" i="58"/>
  <c r="Z9" i="49" s="1"/>
  <c r="AA9" i="52" s="1"/>
  <c r="AA15" i="41"/>
  <c r="AF15" i="41"/>
  <c r="AK15" i="41"/>
  <c r="Y15" i="41"/>
  <c r="X10" i="49" s="1"/>
  <c r="Y10" i="52" s="1"/>
  <c r="AB35" i="37"/>
  <c r="AE35" i="37"/>
  <c r="AD35" i="37"/>
  <c r="AC35" i="37"/>
  <c r="AH35" i="41"/>
  <c r="AI35" i="41"/>
  <c r="AJ35" i="41"/>
  <c r="AG35" i="41"/>
  <c r="AE33" i="78"/>
  <c r="AC33" i="78"/>
  <c r="AF33" i="78"/>
  <c r="AD33" i="78"/>
  <c r="AK34" i="44"/>
  <c r="AF25" i="37"/>
  <c r="AM9" i="45"/>
  <c r="AN9" i="45"/>
  <c r="AO9" i="45"/>
  <c r="AL9" i="45"/>
  <c r="AA6" i="41"/>
  <c r="AK6" i="41"/>
  <c r="AF6" i="41"/>
  <c r="Y6" i="41"/>
  <c r="W9" i="49" s="1"/>
  <c r="X9" i="52" s="1"/>
  <c r="AK25" i="45"/>
  <c r="AK22" i="44"/>
  <c r="AM22" i="44" s="1"/>
  <c r="AH31" i="58"/>
  <c r="AK31" i="58"/>
  <c r="AJ31" i="58"/>
  <c r="AI31" i="58"/>
  <c r="AA17" i="45"/>
  <c r="AK17" i="45"/>
  <c r="AF17" i="45"/>
  <c r="Y17" i="45"/>
  <c r="AB12" i="49" s="1"/>
  <c r="AC12" i="52" s="1"/>
  <c r="AM31" i="37"/>
  <c r="AB7" i="45"/>
  <c r="AE7" i="45"/>
  <c r="AC7" i="45"/>
  <c r="AD7" i="45"/>
  <c r="AA6" i="46"/>
  <c r="AK6" i="46"/>
  <c r="AF6" i="46"/>
  <c r="Y6" i="46"/>
  <c r="AE9" i="49" s="1"/>
  <c r="AF9" i="52" s="1"/>
  <c r="AH7" i="78"/>
  <c r="AK7" i="78"/>
  <c r="AI7" i="78"/>
  <c r="AJ7" i="78"/>
  <c r="AA8" i="44"/>
  <c r="AK8" i="44"/>
  <c r="AF8" i="44"/>
  <c r="Y8" i="44"/>
  <c r="AC11" i="49" s="1"/>
  <c r="AD11" i="52" s="1"/>
  <c r="AM33" i="58"/>
  <c r="AO33" i="58"/>
  <c r="AD16" i="41"/>
  <c r="AC16" i="41"/>
  <c r="AB16" i="41"/>
  <c r="AE16" i="41"/>
  <c r="AH35" i="45"/>
  <c r="AI35" i="45"/>
  <c r="AG35" i="45"/>
  <c r="AJ35" i="45"/>
  <c r="AF22" i="37"/>
  <c r="AE10" i="41"/>
  <c r="AB10" i="41"/>
  <c r="AC10" i="41"/>
  <c r="AD10" i="41"/>
  <c r="AG10" i="45"/>
  <c r="AJ10" i="45"/>
  <c r="AH10" i="45"/>
  <c r="AI10" i="45"/>
  <c r="AK34" i="41"/>
  <c r="AO34" i="41" s="1"/>
  <c r="AG23" i="85"/>
  <c r="AM26" i="45"/>
  <c r="AN26" i="45"/>
  <c r="AL26" i="45"/>
  <c r="AO26" i="45"/>
  <c r="AE9" i="44"/>
  <c r="AC9" i="44"/>
  <c r="AB9" i="44"/>
  <c r="AD9" i="44"/>
  <c r="AB9" i="41"/>
  <c r="AC9" i="41"/>
  <c r="AE9" i="41"/>
  <c r="AD9" i="41"/>
  <c r="AN33" i="72"/>
  <c r="AP33" i="72"/>
  <c r="AO33" i="72"/>
  <c r="AI24" i="85"/>
  <c r="AJ24" i="85"/>
  <c r="AH24" i="85"/>
  <c r="AK24" i="85"/>
  <c r="AJ26" i="37"/>
  <c r="AH26" i="37"/>
  <c r="AI26" i="37"/>
  <c r="AG26" i="37"/>
  <c r="AF30" i="37"/>
  <c r="AK30" i="37"/>
  <c r="AN30" i="37" s="1"/>
  <c r="AA30" i="37"/>
  <c r="AI10" i="58"/>
  <c r="AJ10" i="58"/>
  <c r="AK10" i="58"/>
  <c r="AH10" i="58"/>
  <c r="AL7" i="46"/>
  <c r="AN7" i="46"/>
  <c r="AO7" i="46"/>
  <c r="AM7" i="46"/>
  <c r="AB5" i="85"/>
  <c r="AG5" i="85"/>
  <c r="AL5" i="85"/>
  <c r="Y5" i="85"/>
  <c r="AA13" i="45"/>
  <c r="AK13" i="45"/>
  <c r="AF13" i="45"/>
  <c r="Y13" i="45"/>
  <c r="AB8" i="49" s="1"/>
  <c r="AC8" i="52" s="1"/>
  <c r="AB6" i="58"/>
  <c r="AG6" i="58"/>
  <c r="AL6" i="58"/>
  <c r="Y6" i="58"/>
  <c r="Y9" i="49" s="1"/>
  <c r="Z9" i="52" s="1"/>
  <c r="AB17" i="78"/>
  <c r="AG17" i="78"/>
  <c r="Y17" i="78"/>
  <c r="AJ12" i="49" s="1"/>
  <c r="AD35" i="85"/>
  <c r="AE35" i="85"/>
  <c r="AC35" i="85"/>
  <c r="AF35" i="85"/>
  <c r="AA13" i="46"/>
  <c r="AK13" i="46"/>
  <c r="AF13" i="46"/>
  <c r="Y13" i="46"/>
  <c r="AF8" i="49" s="1"/>
  <c r="AG8" i="52" s="1"/>
  <c r="AA8" i="45"/>
  <c r="AF8" i="45"/>
  <c r="AK8" i="45"/>
  <c r="Y8" i="45"/>
  <c r="AA11" i="49" s="1"/>
  <c r="AB11" i="52" s="1"/>
  <c r="AE9" i="85"/>
  <c r="AD9" i="85"/>
  <c r="AC9" i="85"/>
  <c r="AF9" i="85"/>
  <c r="AA14" i="41"/>
  <c r="AK14" i="41"/>
  <c r="AF14" i="41"/>
  <c r="Y14" i="41"/>
  <c r="X9" i="49" s="1"/>
  <c r="Y9" i="52" s="1"/>
  <c r="AG33" i="41"/>
  <c r="AJ33" i="41"/>
  <c r="AI33" i="41"/>
  <c r="AH33" i="41"/>
  <c r="AF7" i="72"/>
  <c r="AE7" i="72"/>
  <c r="AD7" i="72"/>
  <c r="AC7" i="72"/>
  <c r="AE7" i="44"/>
  <c r="AC7" i="44"/>
  <c r="AB7" i="44"/>
  <c r="AD7" i="44"/>
  <c r="AL10" i="44"/>
  <c r="AO10" i="44"/>
  <c r="AN10" i="44"/>
  <c r="AM10" i="44"/>
  <c r="AA30" i="46"/>
  <c r="AF30" i="46"/>
  <c r="AK30" i="46"/>
  <c r="AA30" i="41"/>
  <c r="AK30" i="41"/>
  <c r="AL30" i="41" s="1"/>
  <c r="AF30" i="41"/>
  <c r="AK9" i="58"/>
  <c r="AI9" i="58"/>
  <c r="AJ9" i="58"/>
  <c r="AH9" i="58"/>
  <c r="AL14" i="85"/>
  <c r="AB14" i="85"/>
  <c r="AG14" i="85"/>
  <c r="Y14" i="85"/>
  <c r="AI27" i="58"/>
  <c r="AK27" i="58"/>
  <c r="AH27" i="58"/>
  <c r="AJ27" i="58"/>
  <c r="AD10" i="44"/>
  <c r="AE10" i="44"/>
  <c r="AC10" i="44"/>
  <c r="AB10" i="44"/>
  <c r="AJ10" i="72"/>
  <c r="AH10" i="72"/>
  <c r="AK10" i="72"/>
  <c r="AI10" i="72"/>
  <c r="AB18" i="46"/>
  <c r="AE18" i="46"/>
  <c r="AC18" i="46"/>
  <c r="AD18" i="46"/>
  <c r="AG35" i="44"/>
  <c r="AJ35" i="44"/>
  <c r="AI35" i="44"/>
  <c r="AH35" i="44"/>
  <c r="AA17" i="37"/>
  <c r="AK17" i="37"/>
  <c r="AF17" i="37"/>
  <c r="Y17" i="37"/>
  <c r="V12" i="49" s="1"/>
  <c r="W12" i="52" s="1"/>
  <c r="AM10" i="85"/>
  <c r="AP10" i="85"/>
  <c r="AO10" i="85"/>
  <c r="AN10" i="85"/>
  <c r="AB17" i="72"/>
  <c r="AG17" i="72"/>
  <c r="AL17" i="72"/>
  <c r="Y17" i="72"/>
  <c r="AH12" i="49" s="1"/>
  <c r="AI12" i="52" s="1"/>
  <c r="D220" i="83"/>
  <c r="D236" i="83" s="1"/>
  <c r="D214" i="83"/>
  <c r="D216" i="83" s="1"/>
  <c r="AA5" i="37"/>
  <c r="AF5" i="37"/>
  <c r="AK5" i="37"/>
  <c r="Y5" i="37"/>
  <c r="U8" i="49" s="1"/>
  <c r="V8" i="52" s="1"/>
  <c r="AB25" i="72"/>
  <c r="AK22" i="41"/>
  <c r="AM22" i="41" s="1"/>
  <c r="AL22" i="85"/>
  <c r="AO22" i="85" s="1"/>
  <c r="AE24" i="85"/>
  <c r="AC24" i="85"/>
  <c r="AF24" i="85"/>
  <c r="AD24" i="85"/>
  <c r="AA34" i="44"/>
  <c r="AB18" i="44"/>
  <c r="AE18" i="44"/>
  <c r="AC18" i="44"/>
  <c r="AD18" i="44"/>
  <c r="AL9" i="41"/>
  <c r="AN9" i="41"/>
  <c r="AM9" i="41"/>
  <c r="AO9" i="41"/>
  <c r="AO7" i="41"/>
  <c r="AM7" i="41"/>
  <c r="AN7" i="41"/>
  <c r="AL7" i="41"/>
  <c r="AG9" i="45"/>
  <c r="AI9" i="45"/>
  <c r="AH9" i="45"/>
  <c r="AJ9" i="45"/>
  <c r="AF22" i="44"/>
  <c r="AJ24" i="46"/>
  <c r="AG24" i="46"/>
  <c r="AI24" i="46"/>
  <c r="AH24" i="46"/>
  <c r="AB6" i="85"/>
  <c r="AG6" i="85"/>
  <c r="AL6" i="85"/>
  <c r="Y6" i="85"/>
  <c r="AL34" i="58"/>
  <c r="AN34" i="58" s="1"/>
  <c r="AL32" i="58"/>
  <c r="AP32" i="58" s="1"/>
  <c r="AB17" i="85"/>
  <c r="AL17" i="85"/>
  <c r="AG17" i="85"/>
  <c r="Y17" i="85"/>
  <c r="AA5" i="45"/>
  <c r="AF5" i="45"/>
  <c r="AK5" i="45"/>
  <c r="Y5" i="45"/>
  <c r="AA8" i="49" s="1"/>
  <c r="AB8" i="52" s="1"/>
  <c r="AC7" i="78"/>
  <c r="AF7" i="78"/>
  <c r="AE7" i="78"/>
  <c r="AD7" i="78"/>
  <c r="AG22" i="78"/>
  <c r="AN33" i="58"/>
  <c r="AF34" i="46"/>
  <c r="AB34" i="72"/>
  <c r="AA13" i="44"/>
  <c r="AF13" i="44"/>
  <c r="AK13" i="44"/>
  <c r="Y13" i="44"/>
  <c r="AD8" i="49" s="1"/>
  <c r="AE8" i="52" s="1"/>
  <c r="AB22" i="45"/>
  <c r="AF27" i="72"/>
  <c r="AD27" i="72"/>
  <c r="AE27" i="72"/>
  <c r="AC27" i="72"/>
  <c r="AB6" i="72"/>
  <c r="AG6" i="72"/>
  <c r="AL6" i="72"/>
  <c r="Y6" i="72"/>
  <c r="AG9" i="49" s="1"/>
  <c r="AH9" i="52" s="1"/>
  <c r="AM10" i="46"/>
  <c r="AN10" i="46"/>
  <c r="AO10" i="46"/>
  <c r="AL10" i="46"/>
  <c r="AM10" i="37"/>
  <c r="AN10" i="37"/>
  <c r="AL10" i="37"/>
  <c r="AO10" i="37"/>
  <c r="AF23" i="37"/>
  <c r="AL22" i="72"/>
  <c r="AK22" i="37"/>
  <c r="AN22" i="37" s="1"/>
  <c r="AB8" i="58"/>
  <c r="AG8" i="58"/>
  <c r="AL8" i="58"/>
  <c r="Y8" i="58"/>
  <c r="Y11" i="49" s="1"/>
  <c r="Z11" i="52" s="1"/>
  <c r="AA8" i="41"/>
  <c r="AF8" i="41"/>
  <c r="AK8" i="41"/>
  <c r="Y8" i="41"/>
  <c r="W11" i="49" s="1"/>
  <c r="X11" i="52" s="1"/>
  <c r="AB23" i="58"/>
  <c r="AH24" i="37"/>
  <c r="AI24" i="37"/>
  <c r="AG24" i="37"/>
  <c r="AJ24" i="37"/>
  <c r="AD10" i="45"/>
  <c r="AC10" i="45"/>
  <c r="AE10" i="45"/>
  <c r="AB10" i="45"/>
  <c r="AA15" i="37"/>
  <c r="AF15" i="37"/>
  <c r="AK15" i="37"/>
  <c r="Y15" i="37"/>
  <c r="V10" i="49" s="1"/>
  <c r="W10" i="52" s="1"/>
  <c r="AN26" i="37"/>
  <c r="AO24" i="37"/>
  <c r="AF25" i="41"/>
  <c r="AG22" i="58"/>
  <c r="AB14" i="72"/>
  <c r="AL14" i="72"/>
  <c r="AG14" i="72"/>
  <c r="Y14" i="72"/>
  <c r="AH9" i="49" s="1"/>
  <c r="AI9" i="52" s="1"/>
  <c r="AA5" i="44"/>
  <c r="AF5" i="44"/>
  <c r="AK5" i="44"/>
  <c r="Y5" i="44"/>
  <c r="AC8" i="49" s="1"/>
  <c r="AD8" i="52" s="1"/>
  <c r="AM27" i="72"/>
  <c r="AJ9" i="37"/>
  <c r="AH9" i="37"/>
  <c r="AI9" i="37"/>
  <c r="AG9" i="37"/>
  <c r="AK18" i="78"/>
  <c r="AI18" i="78"/>
  <c r="AJ18" i="78"/>
  <c r="AH18" i="78"/>
  <c r="AG9" i="46"/>
  <c r="AH9" i="46"/>
  <c r="AI9" i="46"/>
  <c r="AJ9" i="46"/>
  <c r="AD10" i="46"/>
  <c r="AC10" i="46"/>
  <c r="AB10" i="46"/>
  <c r="AE10" i="46"/>
  <c r="AM35" i="46"/>
  <c r="AO35" i="46"/>
  <c r="AE9" i="37"/>
  <c r="AB9" i="37"/>
  <c r="AC9" i="37"/>
  <c r="AD9" i="37"/>
  <c r="AB17" i="58"/>
  <c r="AG17" i="58"/>
  <c r="AL17" i="58"/>
  <c r="Y17" i="58"/>
  <c r="Z12" i="49" s="1"/>
  <c r="AA12" i="52" s="1"/>
  <c r="AC9" i="46"/>
  <c r="AD9" i="46"/>
  <c r="AE9" i="46"/>
  <c r="AB9" i="46"/>
  <c r="AB18" i="41"/>
  <c r="AE18" i="41"/>
  <c r="AC18" i="41"/>
  <c r="AD18" i="41"/>
  <c r="AD35" i="72"/>
  <c r="AE35" i="72"/>
  <c r="AC35" i="72"/>
  <c r="AF35" i="72"/>
  <c r="AH10" i="85"/>
  <c r="AK10" i="85"/>
  <c r="AI10" i="85"/>
  <c r="AJ10" i="85"/>
  <c r="AM27" i="58"/>
  <c r="AN27" i="58"/>
  <c r="AD10" i="58"/>
  <c r="AE10" i="58"/>
  <c r="AF10" i="58"/>
  <c r="AC10" i="58"/>
  <c r="AO24" i="44"/>
  <c r="AM24" i="44"/>
  <c r="AA14" i="46"/>
  <c r="AK14" i="46"/>
  <c r="AF14" i="46"/>
  <c r="Y14" i="46"/>
  <c r="AF9" i="49" s="1"/>
  <c r="AG9" i="52" s="1"/>
  <c r="AC18" i="58"/>
  <c r="AF18" i="58"/>
  <c r="AD18" i="58"/>
  <c r="AE18" i="58"/>
  <c r="AM9" i="58"/>
  <c r="AP9" i="58"/>
  <c r="AN9" i="58"/>
  <c r="AO9" i="58"/>
  <c r="AB13" i="85"/>
  <c r="AL13" i="85"/>
  <c r="AG13" i="85"/>
  <c r="Y13" i="85"/>
  <c r="AL10" i="41"/>
  <c r="AO10" i="41"/>
  <c r="AM10" i="41"/>
  <c r="AN10" i="41"/>
  <c r="AA8" i="46"/>
  <c r="AF8" i="46"/>
  <c r="AK8" i="46"/>
  <c r="Y8" i="46"/>
  <c r="AE11" i="49" s="1"/>
  <c r="AF11" i="52" s="1"/>
  <c r="AM9" i="37"/>
  <c r="AN9" i="37"/>
  <c r="AO9" i="37"/>
  <c r="AL9" i="37"/>
  <c r="AH9" i="78"/>
  <c r="AK9" i="78"/>
  <c r="AI9" i="78"/>
  <c r="AJ9" i="78"/>
  <c r="AB22" i="85"/>
  <c r="AC24" i="46"/>
  <c r="AD24" i="46"/>
  <c r="AE24" i="46"/>
  <c r="AB24" i="46"/>
  <c r="AA6" i="44"/>
  <c r="AF6" i="44"/>
  <c r="AK6" i="44"/>
  <c r="Y6" i="44"/>
  <c r="AC9" i="49" s="1"/>
  <c r="AD9" i="52" s="1"/>
  <c r="AA14" i="44"/>
  <c r="AF14" i="44"/>
  <c r="AK14" i="44"/>
  <c r="Y14" i="44"/>
  <c r="AD9" i="49" s="1"/>
  <c r="AE9" i="52" s="1"/>
  <c r="AG9" i="41"/>
  <c r="AI9" i="41"/>
  <c r="AH9" i="41"/>
  <c r="AJ9" i="41"/>
  <c r="AB9" i="45"/>
  <c r="AE9" i="45"/>
  <c r="AD9" i="45"/>
  <c r="AC9" i="45"/>
  <c r="AB13" i="78"/>
  <c r="AG13" i="78"/>
  <c r="Y13" i="78"/>
  <c r="AJ8" i="49" s="1"/>
  <c r="AC26" i="44"/>
  <c r="AB26" i="44"/>
  <c r="AD26" i="44"/>
  <c r="AE26" i="44"/>
  <c r="AA22" i="44"/>
  <c r="AG35" i="37"/>
  <c r="AJ35" i="37"/>
  <c r="AI35" i="37"/>
  <c r="AH35" i="37"/>
  <c r="AA8" i="37"/>
  <c r="AK8" i="37"/>
  <c r="AF8" i="37"/>
  <c r="Y8" i="37"/>
  <c r="U11" i="49" s="1"/>
  <c r="V11" i="52" s="1"/>
  <c r="AF18" i="78"/>
  <c r="AD18" i="78"/>
  <c r="AE18" i="78"/>
  <c r="AC18" i="78"/>
  <c r="AG34" i="58"/>
  <c r="AM9" i="85"/>
  <c r="AO9" i="85"/>
  <c r="AP9" i="85"/>
  <c r="AN9" i="85"/>
  <c r="AO9" i="46"/>
  <c r="AM9" i="46"/>
  <c r="AN9" i="46"/>
  <c r="AL9" i="46"/>
  <c r="AI27" i="72"/>
  <c r="AJ27" i="72"/>
  <c r="AH27" i="72"/>
  <c r="AK27" i="72"/>
  <c r="AK33" i="85"/>
  <c r="AH33" i="85"/>
  <c r="AJ33" i="85"/>
  <c r="AI33" i="85"/>
  <c r="AB13" i="72"/>
  <c r="AG13" i="72"/>
  <c r="AL13" i="72"/>
  <c r="Y13" i="72"/>
  <c r="AH8" i="49" s="1"/>
  <c r="AI8" i="52" s="1"/>
  <c r="AL22" i="78"/>
  <c r="AP22" i="78" s="1"/>
  <c r="AP5" i="78" s="1"/>
  <c r="AE24" i="41"/>
  <c r="AC24" i="41"/>
  <c r="AD24" i="41"/>
  <c r="AB24" i="41"/>
  <c r="AA34" i="46"/>
  <c r="AL34" i="72"/>
  <c r="AN34" i="72" s="1"/>
  <c r="AA30" i="44"/>
  <c r="AF30" i="44"/>
  <c r="AK30" i="44"/>
  <c r="AF25" i="44"/>
  <c r="AA5" i="46"/>
  <c r="AK5" i="46"/>
  <c r="AF5" i="46"/>
  <c r="Y5" i="46"/>
  <c r="AE8" i="49" s="1"/>
  <c r="AF8" i="52" s="1"/>
  <c r="AG10" i="46"/>
  <c r="AJ10" i="46"/>
  <c r="AH10" i="46"/>
  <c r="AI10" i="46"/>
  <c r="AG10" i="37"/>
  <c r="AH10" i="37"/>
  <c r="AI10" i="37"/>
  <c r="AJ10" i="37"/>
  <c r="AK23" i="37"/>
  <c r="AO23" i="37" s="1"/>
  <c r="AG22" i="72"/>
  <c r="AG8" i="78"/>
  <c r="AB8" i="78"/>
  <c r="Y8" i="78"/>
  <c r="AI11" i="49" s="1"/>
  <c r="AK35" i="78"/>
  <c r="AJ35" i="78"/>
  <c r="AH35" i="78"/>
  <c r="AI35" i="78"/>
  <c r="AB24" i="37"/>
  <c r="AE24" i="37"/>
  <c r="AD24" i="37"/>
  <c r="AC24" i="37"/>
  <c r="AA22" i="37"/>
  <c r="AE7" i="37"/>
  <c r="AC7" i="37"/>
  <c r="AB7" i="37"/>
  <c r="AD7" i="37"/>
  <c r="AB15" i="85"/>
  <c r="AG15" i="85"/>
  <c r="AL15" i="85"/>
  <c r="Y15" i="85"/>
  <c r="AK17" i="46"/>
  <c r="AF17" i="46"/>
  <c r="AA17" i="46"/>
  <c r="Y17" i="46"/>
  <c r="AF12" i="49" s="1"/>
  <c r="AG12" i="52" s="1"/>
  <c r="AG32" i="85"/>
  <c r="AA13" i="37"/>
  <c r="AK13" i="37"/>
  <c r="AF13" i="37"/>
  <c r="Y13" i="37"/>
  <c r="V8" i="49" s="1"/>
  <c r="W8" i="52" s="1"/>
  <c r="AB25" i="85"/>
  <c r="AM7" i="44"/>
  <c r="AN7" i="44"/>
  <c r="AO7" i="44"/>
  <c r="AL7" i="44"/>
  <c r="AA6" i="37"/>
  <c r="AF6" i="37"/>
  <c r="AK6" i="37"/>
  <c r="Y6" i="37"/>
  <c r="U9" i="49" s="1"/>
  <c r="V9" i="52" s="1"/>
  <c r="AF32" i="37"/>
  <c r="AK25" i="41"/>
  <c r="AL25" i="41" s="1"/>
  <c r="AL22" i="58"/>
  <c r="AN22" i="58" s="1"/>
  <c r="AC5" i="58"/>
  <c r="AF5" i="58"/>
  <c r="AD5" i="58"/>
  <c r="AE5" i="58"/>
  <c r="AS9" i="78" l="1"/>
  <c r="AE29" i="47" s="1"/>
  <c r="AE73" i="47" s="1"/>
  <c r="AS16" i="78"/>
  <c r="AF26" i="47" s="1"/>
  <c r="AF70" i="47" s="1"/>
  <c r="AI23" i="46"/>
  <c r="AK32" i="72"/>
  <c r="AH32" i="45"/>
  <c r="AN16" i="85"/>
  <c r="AD32" i="85"/>
  <c r="AC16" i="78"/>
  <c r="AM34" i="37"/>
  <c r="AE16" i="85"/>
  <c r="AP32" i="85"/>
  <c r="AO23" i="45"/>
  <c r="AJ25" i="46"/>
  <c r="AC5" i="78"/>
  <c r="AH16" i="72"/>
  <c r="AI23" i="41"/>
  <c r="AD32" i="46"/>
  <c r="AC7" i="46"/>
  <c r="AH23" i="45"/>
  <c r="AM22" i="45"/>
  <c r="AG23" i="41"/>
  <c r="AC32" i="46"/>
  <c r="AI32" i="41"/>
  <c r="AI32" i="46"/>
  <c r="AJ23" i="41"/>
  <c r="AB32" i="46"/>
  <c r="AE5" i="78"/>
  <c r="AD23" i="85"/>
  <c r="AD5" i="78"/>
  <c r="AH16" i="85"/>
  <c r="AJ7" i="41"/>
  <c r="AF23" i="78"/>
  <c r="AD23" i="45"/>
  <c r="AM34" i="45"/>
  <c r="AH5" i="58"/>
  <c r="AN22" i="41"/>
  <c r="AD32" i="78"/>
  <c r="AO25" i="58"/>
  <c r="AO32" i="72"/>
  <c r="AL23" i="45"/>
  <c r="AM23" i="58"/>
  <c r="AC32" i="85"/>
  <c r="AJ23" i="46"/>
  <c r="AE25" i="41"/>
  <c r="AI32" i="72"/>
  <c r="AN32" i="46"/>
  <c r="AG23" i="46"/>
  <c r="AB25" i="41"/>
  <c r="AJ32" i="72"/>
  <c r="AD22" i="46"/>
  <c r="AM23" i="85"/>
  <c r="AP23" i="58"/>
  <c r="AC16" i="85"/>
  <c r="AO23" i="58"/>
  <c r="AE16" i="78"/>
  <c r="AG25" i="46"/>
  <c r="AD32" i="37"/>
  <c r="AN34" i="46"/>
  <c r="AD25" i="58"/>
  <c r="AD32" i="45"/>
  <c r="AN34" i="45"/>
  <c r="AN7" i="58"/>
  <c r="AJ5" i="58"/>
  <c r="AF32" i="72"/>
  <c r="AK16" i="78"/>
  <c r="AB23" i="45"/>
  <c r="AE23" i="41"/>
  <c r="AM34" i="46"/>
  <c r="AI16" i="78"/>
  <c r="AE32" i="45"/>
  <c r="AB23" i="41"/>
  <c r="AO7" i="58"/>
  <c r="AO32" i="85"/>
  <c r="AC23" i="72"/>
  <c r="AF32" i="78"/>
  <c r="AJ7" i="58"/>
  <c r="AE16" i="44"/>
  <c r="AE32" i="78"/>
  <c r="AM32" i="85"/>
  <c r="AD22" i="78"/>
  <c r="AS14" i="78"/>
  <c r="AF24" i="47" s="1"/>
  <c r="AF34" i="47" s="1"/>
  <c r="AF78" i="47" s="1"/>
  <c r="AS7" i="78"/>
  <c r="AE27" i="47" s="1"/>
  <c r="AE71" i="47" s="1"/>
  <c r="AP25" i="58"/>
  <c r="AL23" i="41"/>
  <c r="AN25" i="58"/>
  <c r="AH7" i="58"/>
  <c r="AD34" i="37"/>
  <c r="AF16" i="72"/>
  <c r="AI16" i="72"/>
  <c r="AJ32" i="46"/>
  <c r="AE25" i="46"/>
  <c r="AI25" i="85"/>
  <c r="AD23" i="46"/>
  <c r="AC34" i="58"/>
  <c r="AG22" i="45"/>
  <c r="AE23" i="45"/>
  <c r="AB32" i="45"/>
  <c r="AH18" i="46"/>
  <c r="AC23" i="37"/>
  <c r="AM32" i="45"/>
  <c r="AJ25" i="72"/>
  <c r="AC23" i="41"/>
  <c r="AE25" i="37"/>
  <c r="AM32" i="46"/>
  <c r="AK16" i="72"/>
  <c r="AG32" i="46"/>
  <c r="AF34" i="58"/>
  <c r="AC23" i="85"/>
  <c r="AL32" i="46"/>
  <c r="AC32" i="41"/>
  <c r="AO34" i="58"/>
  <c r="AD22" i="72"/>
  <c r="AP23" i="78"/>
  <c r="AP6" i="78" s="1"/>
  <c r="AK16" i="85"/>
  <c r="AC23" i="78"/>
  <c r="AE23" i="37"/>
  <c r="AI34" i="44"/>
  <c r="AE22" i="58"/>
  <c r="AC32" i="44"/>
  <c r="AM23" i="41"/>
  <c r="AF34" i="85"/>
  <c r="AN23" i="41"/>
  <c r="AD16" i="44"/>
  <c r="AM22" i="46"/>
  <c r="AF34" i="78"/>
  <c r="AB16" i="44"/>
  <c r="AJ25" i="58"/>
  <c r="AE22" i="41"/>
  <c r="AE32" i="58"/>
  <c r="AM5" i="58"/>
  <c r="AC32" i="58"/>
  <c r="AI32" i="45"/>
  <c r="AB32" i="44"/>
  <c r="AP5" i="58"/>
  <c r="AK25" i="58"/>
  <c r="AD34" i="78"/>
  <c r="AN32" i="44"/>
  <c r="AB23" i="44"/>
  <c r="AD32" i="58"/>
  <c r="AJ32" i="45"/>
  <c r="AE22" i="45"/>
  <c r="AN32" i="72"/>
  <c r="AI34" i="37"/>
  <c r="AD32" i="44"/>
  <c r="AE34" i="58"/>
  <c r="AO5" i="58"/>
  <c r="AN32" i="78"/>
  <c r="AN15" i="78" s="1"/>
  <c r="AG7" i="41"/>
  <c r="AJ16" i="85"/>
  <c r="AE23" i="78"/>
  <c r="AD23" i="37"/>
  <c r="AP16" i="85"/>
  <c r="AI25" i="58"/>
  <c r="AE23" i="85"/>
  <c r="AD25" i="44"/>
  <c r="AE34" i="78"/>
  <c r="AD22" i="58"/>
  <c r="AC22" i="41"/>
  <c r="AO23" i="46"/>
  <c r="AO22" i="46"/>
  <c r="AC22" i="45"/>
  <c r="AH7" i="41"/>
  <c r="AO16" i="85"/>
  <c r="AC22" i="58"/>
  <c r="AD22" i="41"/>
  <c r="AM32" i="44"/>
  <c r="AL32" i="44"/>
  <c r="AH23" i="44"/>
  <c r="AM25" i="46"/>
  <c r="AE7" i="58"/>
  <c r="AL23" i="46"/>
  <c r="AN22" i="46"/>
  <c r="AM32" i="72"/>
  <c r="AN23" i="46"/>
  <c r="AN23" i="78"/>
  <c r="AN6" i="78" s="1"/>
  <c r="AE16" i="72"/>
  <c r="AC32" i="72"/>
  <c r="AK25" i="85"/>
  <c r="AE22" i="72"/>
  <c r="AE25" i="58"/>
  <c r="AN32" i="45"/>
  <c r="AG34" i="44"/>
  <c r="AE22" i="46"/>
  <c r="AM32" i="37"/>
  <c r="AE34" i="37"/>
  <c r="AC16" i="72"/>
  <c r="AB32" i="37"/>
  <c r="AO25" i="44"/>
  <c r="AK5" i="58"/>
  <c r="AJ32" i="41"/>
  <c r="AH23" i="72"/>
  <c r="AM23" i="45"/>
  <c r="AO23" i="78"/>
  <c r="AO6" i="78" s="1"/>
  <c r="AD32" i="72"/>
  <c r="AH25" i="85"/>
  <c r="AE32" i="85"/>
  <c r="AB23" i="46"/>
  <c r="AF22" i="72"/>
  <c r="AI16" i="44"/>
  <c r="AD16" i="85"/>
  <c r="AI22" i="45"/>
  <c r="AJ16" i="78"/>
  <c r="AP32" i="78"/>
  <c r="AP15" i="78" s="1"/>
  <c r="AF25" i="58"/>
  <c r="AC25" i="41"/>
  <c r="AL32" i="45"/>
  <c r="AJ23" i="45"/>
  <c r="AL22" i="45"/>
  <c r="AD16" i="78"/>
  <c r="AL34" i="45"/>
  <c r="AI25" i="46"/>
  <c r="AK7" i="58"/>
  <c r="AP7" i="58"/>
  <c r="AJ34" i="44"/>
  <c r="AL34" i="46"/>
  <c r="AB25" i="37"/>
  <c r="AC22" i="46"/>
  <c r="AB25" i="45"/>
  <c r="AM23" i="44"/>
  <c r="AO23" i="44"/>
  <c r="AB34" i="37"/>
  <c r="AE32" i="37"/>
  <c r="AG32" i="41"/>
  <c r="AC23" i="46"/>
  <c r="AH22" i="45"/>
  <c r="AJ32" i="58"/>
  <c r="AK32" i="78"/>
  <c r="AI23" i="45"/>
  <c r="AN22" i="45"/>
  <c r="AO25" i="46"/>
  <c r="AC25" i="37"/>
  <c r="AN23" i="44"/>
  <c r="AC7" i="41"/>
  <c r="AN25" i="44"/>
  <c r="AI23" i="78"/>
  <c r="AM25" i="44"/>
  <c r="AG32" i="44"/>
  <c r="AK23" i="58"/>
  <c r="AS10" i="78"/>
  <c r="AE30" i="47" s="1"/>
  <c r="AE74" i="47" s="1"/>
  <c r="AG34" i="37"/>
  <c r="AN34" i="85"/>
  <c r="AL32" i="41"/>
  <c r="AD18" i="45"/>
  <c r="AH25" i="72"/>
  <c r="AM16" i="72"/>
  <c r="AE25" i="78"/>
  <c r="AO23" i="72"/>
  <c r="AE23" i="44"/>
  <c r="AJ34" i="37"/>
  <c r="AO25" i="85"/>
  <c r="AM16" i="45"/>
  <c r="AK25" i="72"/>
  <c r="AB34" i="41"/>
  <c r="AD34" i="45"/>
  <c r="AK34" i="72"/>
  <c r="AC23" i="44"/>
  <c r="AO34" i="85"/>
  <c r="AP34" i="85"/>
  <c r="AL25" i="46"/>
  <c r="AO16" i="46"/>
  <c r="AI23" i="44"/>
  <c r="AM25" i="78"/>
  <c r="AM8" i="78" s="1"/>
  <c r="AL32" i="37"/>
  <c r="AC25" i="46"/>
  <c r="AD7" i="58"/>
  <c r="AJ16" i="44"/>
  <c r="AL22" i="41"/>
  <c r="AH32" i="58"/>
  <c r="AH32" i="78"/>
  <c r="AM23" i="37"/>
  <c r="AJ23" i="78"/>
  <c r="AL34" i="41"/>
  <c r="AO34" i="37"/>
  <c r="AM25" i="72"/>
  <c r="AO16" i="72"/>
  <c r="AI32" i="44"/>
  <c r="AD34" i="41"/>
  <c r="AD25" i="78"/>
  <c r="AC25" i="44"/>
  <c r="AH23" i="58"/>
  <c r="AM32" i="41"/>
  <c r="AM25" i="41"/>
  <c r="AO25" i="78"/>
  <c r="AO8" i="78" s="1"/>
  <c r="AG23" i="44"/>
  <c r="AP25" i="78"/>
  <c r="AP8" i="78" s="1"/>
  <c r="AL34" i="37"/>
  <c r="AN25" i="72"/>
  <c r="AD25" i="46"/>
  <c r="AF7" i="58"/>
  <c r="AH16" i="44"/>
  <c r="AN25" i="78"/>
  <c r="AN8" i="78" s="1"/>
  <c r="AK32" i="58"/>
  <c r="AI32" i="78"/>
  <c r="AH23" i="78"/>
  <c r="AN32" i="37"/>
  <c r="AK7" i="72"/>
  <c r="AP16" i="72"/>
  <c r="AJ32" i="44"/>
  <c r="AE34" i="41"/>
  <c r="AC25" i="78"/>
  <c r="AE25" i="44"/>
  <c r="AJ23" i="58"/>
  <c r="AB34" i="45"/>
  <c r="AJ34" i="72"/>
  <c r="AS18" i="78"/>
  <c r="AF28" i="47" s="1"/>
  <c r="AF72" i="47" s="1"/>
  <c r="AP25" i="72"/>
  <c r="AE32" i="41"/>
  <c r="AF23" i="72"/>
  <c r="AP34" i="58"/>
  <c r="AE25" i="45"/>
  <c r="AE34" i="85"/>
  <c r="AB32" i="41"/>
  <c r="AE23" i="72"/>
  <c r="AJ23" i="72"/>
  <c r="AE16" i="58"/>
  <c r="AN25" i="85"/>
  <c r="AE34" i="45"/>
  <c r="AD25" i="45"/>
  <c r="AC22" i="78"/>
  <c r="AD34" i="85"/>
  <c r="AI34" i="72"/>
  <c r="AM23" i="72"/>
  <c r="AP23" i="72"/>
  <c r="AL15" i="78"/>
  <c r="AO32" i="78"/>
  <c r="AO15" i="78" s="1"/>
  <c r="AI23" i="72"/>
  <c r="AE22" i="78"/>
  <c r="AO25" i="37"/>
  <c r="AM34" i="72"/>
  <c r="AH16" i="45"/>
  <c r="AN25" i="41"/>
  <c r="AP25" i="85"/>
  <c r="AB7" i="46"/>
  <c r="AO16" i="45"/>
  <c r="AO25" i="41"/>
  <c r="AN32" i="41"/>
  <c r="AM23" i="78"/>
  <c r="AM6" i="78" s="1"/>
  <c r="AD16" i="58"/>
  <c r="AI16" i="45"/>
  <c r="AH18" i="85"/>
  <c r="AE7" i="41"/>
  <c r="AG18" i="45"/>
  <c r="AD7" i="46"/>
  <c r="AD7" i="41"/>
  <c r="AK18" i="85"/>
  <c r="AJ16" i="45"/>
  <c r="AN16" i="45"/>
  <c r="AJ18" i="45"/>
  <c r="AJ18" i="85"/>
  <c r="AF16" i="58"/>
  <c r="AH18" i="45"/>
  <c r="AH16" i="37"/>
  <c r="AE18" i="45"/>
  <c r="AM16" i="58"/>
  <c r="AJ7" i="46"/>
  <c r="AM16" i="37"/>
  <c r="AN16" i="37"/>
  <c r="AI7" i="37"/>
  <c r="AG7" i="46"/>
  <c r="AI7" i="46"/>
  <c r="AH7" i="37"/>
  <c r="AJ16" i="37"/>
  <c r="AJ7" i="37"/>
  <c r="AG16" i="37"/>
  <c r="AN16" i="44"/>
  <c r="AI18" i="46"/>
  <c r="AL18" i="41"/>
  <c r="AL16" i="46"/>
  <c r="AP16" i="58"/>
  <c r="AB16" i="45"/>
  <c r="AM16" i="44"/>
  <c r="AN16" i="58"/>
  <c r="AD16" i="37"/>
  <c r="AM18" i="41"/>
  <c r="AD16" i="45"/>
  <c r="AO16" i="44"/>
  <c r="AN18" i="41"/>
  <c r="AC16" i="37"/>
  <c r="AG18" i="46"/>
  <c r="AN16" i="46"/>
  <c r="AC16" i="45"/>
  <c r="AM7" i="72"/>
  <c r="AK16" i="58"/>
  <c r="AP7" i="72"/>
  <c r="AH16" i="58"/>
  <c r="AL18" i="37"/>
  <c r="AJ16" i="46"/>
  <c r="AN7" i="72"/>
  <c r="AB16" i="37"/>
  <c r="AO16" i="37"/>
  <c r="AI16" i="58"/>
  <c r="AJ7" i="72"/>
  <c r="AG16" i="46"/>
  <c r="AO18" i="45"/>
  <c r="AI7" i="72"/>
  <c r="AG7" i="45"/>
  <c r="AP18" i="85"/>
  <c r="AM18" i="85"/>
  <c r="AI7" i="45"/>
  <c r="AH7" i="45"/>
  <c r="AN7" i="45"/>
  <c r="AO18" i="85"/>
  <c r="AM7" i="45"/>
  <c r="AK7" i="85"/>
  <c r="AN7" i="85"/>
  <c r="AB16" i="46"/>
  <c r="AO7" i="45"/>
  <c r="AO7" i="85"/>
  <c r="AI18" i="58"/>
  <c r="AI7" i="85"/>
  <c r="AI16" i="46"/>
  <c r="AH7" i="85"/>
  <c r="AD16" i="46"/>
  <c r="AM7" i="37"/>
  <c r="AQ9" i="72"/>
  <c r="I9" i="47" s="1"/>
  <c r="I73" i="47" s="1"/>
  <c r="AO7" i="37"/>
  <c r="AL7" i="37"/>
  <c r="AP7" i="85"/>
  <c r="AC16" i="46"/>
  <c r="AC18" i="45"/>
  <c r="AJ18" i="58"/>
  <c r="AN18" i="44"/>
  <c r="AM18" i="45"/>
  <c r="AO18" i="58"/>
  <c r="AN18" i="58"/>
  <c r="AM18" i="58"/>
  <c r="AL18" i="46"/>
  <c r="AL18" i="45"/>
  <c r="AF18" i="72"/>
  <c r="AI18" i="72"/>
  <c r="AM18" i="37"/>
  <c r="AO18" i="37"/>
  <c r="AS9" i="72"/>
  <c r="I29" i="47" s="1"/>
  <c r="AE18" i="72"/>
  <c r="AC18" i="72"/>
  <c r="AO18" i="46"/>
  <c r="AG18" i="37"/>
  <c r="AM18" i="46"/>
  <c r="AO18" i="72"/>
  <c r="AI18" i="37"/>
  <c r="AH18" i="37"/>
  <c r="AR9" i="72"/>
  <c r="I19" i="47" s="1"/>
  <c r="AI18" i="44"/>
  <c r="AH18" i="44"/>
  <c r="AK18" i="58"/>
  <c r="AJ18" i="44"/>
  <c r="AP18" i="72"/>
  <c r="AO18" i="44"/>
  <c r="AH18" i="41"/>
  <c r="AI18" i="41"/>
  <c r="AM18" i="72"/>
  <c r="AL18" i="44"/>
  <c r="AK18" i="72"/>
  <c r="AG18" i="41"/>
  <c r="AH18" i="72"/>
  <c r="AR10" i="45"/>
  <c r="M30" i="47" s="1"/>
  <c r="M74" i="47" s="1"/>
  <c r="AP10" i="44"/>
  <c r="O10" i="47" s="1"/>
  <c r="O54" i="47" s="1"/>
  <c r="AR9" i="58"/>
  <c r="K19" i="47" s="1"/>
  <c r="AQ9" i="78"/>
  <c r="AE9" i="47" s="1"/>
  <c r="AE53" i="47" s="1"/>
  <c r="AP9" i="45"/>
  <c r="M9" i="47" s="1"/>
  <c r="M53" i="47" s="1"/>
  <c r="AP10" i="46"/>
  <c r="Q10" i="47" s="1"/>
  <c r="Q54" i="47" s="1"/>
  <c r="AR10" i="46"/>
  <c r="Q30" i="47" s="1"/>
  <c r="Q74" i="47" s="1"/>
  <c r="AR9" i="44"/>
  <c r="O29" i="47" s="1"/>
  <c r="O73" i="47" s="1"/>
  <c r="AP10" i="45"/>
  <c r="M10" i="47" s="1"/>
  <c r="M54" i="47" s="1"/>
  <c r="AQ7" i="78"/>
  <c r="AE7" i="47" s="1"/>
  <c r="AE51" i="47" s="1"/>
  <c r="AS10" i="85"/>
  <c r="S30" i="47" s="1"/>
  <c r="S74" i="47" s="1"/>
  <c r="AR9" i="41"/>
  <c r="G29" i="47" s="1"/>
  <c r="G73" i="47" s="1"/>
  <c r="AR7" i="78"/>
  <c r="AP18" i="44"/>
  <c r="P10" i="47" s="1"/>
  <c r="P54" i="47" s="1"/>
  <c r="AR7" i="46"/>
  <c r="Q27" i="47" s="1"/>
  <c r="Q71" i="47" s="1"/>
  <c r="AQ16" i="41"/>
  <c r="H18" i="47" s="1"/>
  <c r="AS10" i="72"/>
  <c r="I30" i="47" s="1"/>
  <c r="AP10" i="37"/>
  <c r="E10" i="47" s="1"/>
  <c r="E54" i="47" s="1"/>
  <c r="AR10" i="37"/>
  <c r="E30" i="47" s="1"/>
  <c r="AQ9" i="37"/>
  <c r="AR10" i="72"/>
  <c r="AR10" i="58"/>
  <c r="K20" i="47" s="1"/>
  <c r="AP9" i="41"/>
  <c r="G9" i="47" s="1"/>
  <c r="G53" i="47" s="1"/>
  <c r="AQ10" i="44"/>
  <c r="O20" i="47" s="1"/>
  <c r="AR7" i="41"/>
  <c r="G27" i="47" s="1"/>
  <c r="G71" i="47" s="1"/>
  <c r="AR7" i="44"/>
  <c r="O27" i="47" s="1"/>
  <c r="O71" i="47" s="1"/>
  <c r="AQ18" i="78"/>
  <c r="AF10" i="47" s="1"/>
  <c r="AF54" i="47" s="1"/>
  <c r="AR9" i="37"/>
  <c r="E29" i="47" s="1"/>
  <c r="E73" i="47" s="1"/>
  <c r="AR9" i="45"/>
  <c r="M29" i="47" s="1"/>
  <c r="M73" i="47" s="1"/>
  <c r="AP7" i="37"/>
  <c r="E7" i="47" s="1"/>
  <c r="E51" i="47" s="1"/>
  <c r="AQ18" i="58"/>
  <c r="L10" i="47" s="1"/>
  <c r="L54" i="47" s="1"/>
  <c r="AQ9" i="45"/>
  <c r="M19" i="47" s="1"/>
  <c r="AR9" i="46"/>
  <c r="Q29" i="47" s="1"/>
  <c r="Q73" i="47" s="1"/>
  <c r="AR10" i="41"/>
  <c r="G30" i="47" s="1"/>
  <c r="G74" i="47" s="1"/>
  <c r="AQ10" i="58"/>
  <c r="K10" i="47" s="1"/>
  <c r="K54" i="47" s="1"/>
  <c r="AP18" i="46"/>
  <c r="R10" i="47" s="1"/>
  <c r="R54" i="47" s="1"/>
  <c r="AP7" i="44"/>
  <c r="O7" i="47" s="1"/>
  <c r="O51" i="47" s="1"/>
  <c r="AP10" i="41"/>
  <c r="G10" i="47" s="1"/>
  <c r="G54" i="47" s="1"/>
  <c r="AP7" i="45"/>
  <c r="M7" i="47" s="1"/>
  <c r="M51" i="47" s="1"/>
  <c r="AP18" i="37"/>
  <c r="F10" i="47" s="1"/>
  <c r="AQ10" i="85"/>
  <c r="S10" i="47" s="1"/>
  <c r="S54" i="47" s="1"/>
  <c r="AQ10" i="78"/>
  <c r="AE10" i="47" s="1"/>
  <c r="AE54" i="47" s="1"/>
  <c r="AQ10" i="37"/>
  <c r="AS9" i="85"/>
  <c r="S29" i="47" s="1"/>
  <c r="S73" i="47" s="1"/>
  <c r="AQ9" i="41"/>
  <c r="G19" i="47" s="1"/>
  <c r="AS9" i="58"/>
  <c r="K29" i="47" s="1"/>
  <c r="K73" i="47" s="1"/>
  <c r="AR10" i="85"/>
  <c r="S20" i="47" s="1"/>
  <c r="AR18" i="78"/>
  <c r="AQ7" i="72"/>
  <c r="I7" i="47" s="1"/>
  <c r="I51" i="47" s="1"/>
  <c r="AQ10" i="45"/>
  <c r="M20" i="47" s="1"/>
  <c r="AQ7" i="85"/>
  <c r="S7" i="47" s="1"/>
  <c r="S51" i="47" s="1"/>
  <c r="AQ9" i="44"/>
  <c r="AR9" i="85"/>
  <c r="S19" i="47" s="1"/>
  <c r="AR10" i="78"/>
  <c r="AE20" i="47" s="1"/>
  <c r="AQ18" i="85"/>
  <c r="T10" i="47" s="1"/>
  <c r="T54" i="47" s="1"/>
  <c r="AQ10" i="46"/>
  <c r="Q20" i="47" s="1"/>
  <c r="AP18" i="41"/>
  <c r="H10" i="47" s="1"/>
  <c r="H54" i="47" s="1"/>
  <c r="AP9" i="37"/>
  <c r="E9" i="47" s="1"/>
  <c r="AQ9" i="46"/>
  <c r="Q19" i="47" s="1"/>
  <c r="AR10" i="44"/>
  <c r="O30" i="47" s="1"/>
  <c r="O74" i="47" s="1"/>
  <c r="AP16" i="41"/>
  <c r="H8" i="47" s="1"/>
  <c r="H52" i="47" s="1"/>
  <c r="AQ10" i="41"/>
  <c r="G20" i="47" s="1"/>
  <c r="AR9" i="78"/>
  <c r="AE19" i="47" s="1"/>
  <c r="AP9" i="46"/>
  <c r="Q9" i="47" s="1"/>
  <c r="Q53" i="47" s="1"/>
  <c r="AQ9" i="85"/>
  <c r="S9" i="47" s="1"/>
  <c r="S53" i="47" s="1"/>
  <c r="AP9" i="44"/>
  <c r="O9" i="47" s="1"/>
  <c r="O53" i="47" s="1"/>
  <c r="AQ9" i="58"/>
  <c r="K9" i="47" s="1"/>
  <c r="K53" i="47" s="1"/>
  <c r="AQ10" i="72"/>
  <c r="I10" i="47" s="1"/>
  <c r="I54" i="47" s="1"/>
  <c r="AR16" i="41"/>
  <c r="H28" i="47" s="1"/>
  <c r="H72" i="47" s="1"/>
  <c r="AS10" i="58"/>
  <c r="K30" i="47" s="1"/>
  <c r="K74" i="47" s="1"/>
  <c r="AQ7" i="44"/>
  <c r="AB15" i="37"/>
  <c r="AE15" i="37"/>
  <c r="AD15" i="37"/>
  <c r="AC15" i="37"/>
  <c r="AG13" i="46"/>
  <c r="AJ13" i="46"/>
  <c r="AH13" i="46"/>
  <c r="AI13" i="46"/>
  <c r="AC6" i="46"/>
  <c r="AB6" i="46"/>
  <c r="AD6" i="46"/>
  <c r="AE6" i="46"/>
  <c r="AF30" i="58"/>
  <c r="AC30" i="58"/>
  <c r="AE30" i="58"/>
  <c r="AD30" i="58"/>
  <c r="AJ17" i="46"/>
  <c r="AH17" i="46"/>
  <c r="AI17" i="46"/>
  <c r="AG17" i="46"/>
  <c r="AL13" i="46"/>
  <c r="AN13" i="46"/>
  <c r="AO13" i="46"/>
  <c r="AM13" i="46"/>
  <c r="AJ32" i="37"/>
  <c r="AH32" i="37"/>
  <c r="AI32" i="37"/>
  <c r="AG32" i="37"/>
  <c r="AE6" i="37"/>
  <c r="AC6" i="37"/>
  <c r="AB6" i="37"/>
  <c r="AD6" i="37"/>
  <c r="AH32" i="85"/>
  <c r="AK32" i="85"/>
  <c r="AJ32" i="85"/>
  <c r="AI32" i="85"/>
  <c r="AM30" i="44"/>
  <c r="AN30" i="44"/>
  <c r="AL30" i="44"/>
  <c r="AO30" i="44"/>
  <c r="AC13" i="72"/>
  <c r="AF13" i="72"/>
  <c r="AE13" i="72"/>
  <c r="AD13" i="72"/>
  <c r="AD8" i="37"/>
  <c r="AC8" i="37"/>
  <c r="AB8" i="37"/>
  <c r="AE8" i="37"/>
  <c r="AD14" i="44"/>
  <c r="AC14" i="44"/>
  <c r="AB14" i="44"/>
  <c r="AE14" i="44"/>
  <c r="AF22" i="85"/>
  <c r="AD22" i="85"/>
  <c r="AE22" i="85"/>
  <c r="AC22" i="85"/>
  <c r="AC13" i="85"/>
  <c r="AF13" i="85"/>
  <c r="AE13" i="85"/>
  <c r="AD13" i="85"/>
  <c r="AC17" i="58"/>
  <c r="AF17" i="58"/>
  <c r="AE17" i="58"/>
  <c r="AD17" i="58"/>
  <c r="AC14" i="72"/>
  <c r="AF14" i="72"/>
  <c r="AD14" i="72"/>
  <c r="AE14" i="72"/>
  <c r="AJ15" i="37"/>
  <c r="AH15" i="37"/>
  <c r="AI15" i="37"/>
  <c r="AG15" i="37"/>
  <c r="AG8" i="41"/>
  <c r="AJ8" i="41"/>
  <c r="AH8" i="41"/>
  <c r="AI8" i="41"/>
  <c r="AD6" i="72"/>
  <c r="AC6" i="72"/>
  <c r="AF6" i="72"/>
  <c r="AE6" i="72"/>
  <c r="AC34" i="72"/>
  <c r="AF34" i="72"/>
  <c r="AE34" i="72"/>
  <c r="AD34" i="72"/>
  <c r="AM17" i="85"/>
  <c r="AO17" i="85"/>
  <c r="AP17" i="85"/>
  <c r="AN17" i="85"/>
  <c r="AD6" i="85"/>
  <c r="AE6" i="85"/>
  <c r="AF6" i="85"/>
  <c r="AC6" i="85"/>
  <c r="AG22" i="44"/>
  <c r="AJ22" i="44"/>
  <c r="AI22" i="44"/>
  <c r="AH22" i="44"/>
  <c r="AC34" i="44"/>
  <c r="AD34" i="44"/>
  <c r="AE34" i="44"/>
  <c r="AB34" i="44"/>
  <c r="AG5" i="37"/>
  <c r="AJ5" i="37"/>
  <c r="AH5" i="37"/>
  <c r="AI5" i="37"/>
  <c r="AH17" i="72"/>
  <c r="AK17" i="72"/>
  <c r="AI17" i="72"/>
  <c r="AJ17" i="72"/>
  <c r="AL17" i="37"/>
  <c r="AO17" i="37"/>
  <c r="AM17" i="37"/>
  <c r="AN17" i="37"/>
  <c r="AJ30" i="46"/>
  <c r="AG30" i="46"/>
  <c r="AH30" i="46"/>
  <c r="AI30" i="46"/>
  <c r="AP34" i="72"/>
  <c r="AE14" i="41"/>
  <c r="AC14" i="41"/>
  <c r="AB14" i="41"/>
  <c r="AD14" i="41"/>
  <c r="AG13" i="45"/>
  <c r="AJ13" i="45"/>
  <c r="AH13" i="45"/>
  <c r="AI13" i="45"/>
  <c r="AO34" i="72"/>
  <c r="AC8" i="44"/>
  <c r="AD8" i="44"/>
  <c r="AE8" i="44"/>
  <c r="AB8" i="44"/>
  <c r="AL6" i="46"/>
  <c r="AO6" i="46"/>
  <c r="AN6" i="46"/>
  <c r="AM6" i="46"/>
  <c r="AL17" i="45"/>
  <c r="AO17" i="45"/>
  <c r="AM17" i="45"/>
  <c r="AN17" i="45"/>
  <c r="AM25" i="45"/>
  <c r="AN25" i="45"/>
  <c r="AL25" i="45"/>
  <c r="AO25" i="45"/>
  <c r="AI6" i="41"/>
  <c r="AH6" i="41"/>
  <c r="AG6" i="41"/>
  <c r="AJ6" i="41"/>
  <c r="AH14" i="58"/>
  <c r="AK14" i="58"/>
  <c r="AI14" i="58"/>
  <c r="AJ14" i="58"/>
  <c r="AM8" i="85"/>
  <c r="AP8" i="85"/>
  <c r="AN8" i="85"/>
  <c r="AO8" i="85"/>
  <c r="AN34" i="78"/>
  <c r="AN17" i="78" s="1"/>
  <c r="AH22" i="41"/>
  <c r="AI22" i="41"/>
  <c r="AJ22" i="41"/>
  <c r="AG22" i="41"/>
  <c r="AE15" i="46"/>
  <c r="AC15" i="46"/>
  <c r="AB15" i="46"/>
  <c r="AD15" i="46"/>
  <c r="AK14" i="78"/>
  <c r="AI14" i="78"/>
  <c r="AJ14" i="78"/>
  <c r="AH14" i="78"/>
  <c r="AI30" i="58"/>
  <c r="AJ30" i="58"/>
  <c r="AH30" i="58"/>
  <c r="AK30" i="58"/>
  <c r="AC30" i="45"/>
  <c r="AB30" i="45"/>
  <c r="AE30" i="45"/>
  <c r="AD30" i="45"/>
  <c r="AF15" i="58"/>
  <c r="AE15" i="58"/>
  <c r="AD15" i="58"/>
  <c r="AC15" i="58"/>
  <c r="AO13" i="41"/>
  <c r="AM13" i="41"/>
  <c r="AN13" i="41"/>
  <c r="AL13" i="41"/>
  <c r="AJ15" i="44"/>
  <c r="AH15" i="44"/>
  <c r="AI15" i="44"/>
  <c r="AG15" i="44"/>
  <c r="AH30" i="44"/>
  <c r="AI30" i="44"/>
  <c r="AG30" i="44"/>
  <c r="AJ30" i="44"/>
  <c r="AE8" i="41"/>
  <c r="AB8" i="41"/>
  <c r="AC8" i="41"/>
  <c r="AD8" i="41"/>
  <c r="AE17" i="85"/>
  <c r="AF17" i="85"/>
  <c r="AD17" i="85"/>
  <c r="AC17" i="85"/>
  <c r="AB17" i="37"/>
  <c r="AC17" i="37"/>
  <c r="AE17" i="37"/>
  <c r="AD17" i="37"/>
  <c r="AL13" i="45"/>
  <c r="AO13" i="45"/>
  <c r="AM13" i="45"/>
  <c r="AN13" i="45"/>
  <c r="AF14" i="58"/>
  <c r="AD14" i="58"/>
  <c r="AC14" i="58"/>
  <c r="AE14" i="58"/>
  <c r="AG25" i="45"/>
  <c r="AJ25" i="45"/>
  <c r="AI25" i="45"/>
  <c r="AH25" i="45"/>
  <c r="AG13" i="41"/>
  <c r="AJ13" i="41"/>
  <c r="AH13" i="41"/>
  <c r="AI13" i="41"/>
  <c r="AG23" i="37"/>
  <c r="AJ23" i="37"/>
  <c r="AI23" i="37"/>
  <c r="AH23" i="37"/>
  <c r="AM34" i="78"/>
  <c r="AM17" i="78" s="1"/>
  <c r="AI6" i="45"/>
  <c r="AH6" i="45"/>
  <c r="AG6" i="45"/>
  <c r="AJ6" i="45"/>
  <c r="AM30" i="85"/>
  <c r="AO30" i="85"/>
  <c r="AN30" i="85"/>
  <c r="AP30" i="85"/>
  <c r="AM15" i="72"/>
  <c r="AP15" i="72"/>
  <c r="AN15" i="72"/>
  <c r="AO15" i="72"/>
  <c r="AP34" i="78"/>
  <c r="AP17" i="78" s="1"/>
  <c r="AO13" i="58"/>
  <c r="AN13" i="58"/>
  <c r="AM13" i="58"/>
  <c r="AP13" i="58"/>
  <c r="AB13" i="41"/>
  <c r="AE13" i="41"/>
  <c r="AD13" i="41"/>
  <c r="AC13" i="41"/>
  <c r="AI14" i="45"/>
  <c r="AH14" i="45"/>
  <c r="AJ14" i="45"/>
  <c r="AG14" i="45"/>
  <c r="AB15" i="44"/>
  <c r="AE15" i="44"/>
  <c r="AD15" i="44"/>
  <c r="AC15" i="44"/>
  <c r="AC25" i="85"/>
  <c r="AF25" i="85"/>
  <c r="AE25" i="85"/>
  <c r="AD25" i="85"/>
  <c r="AL17" i="46"/>
  <c r="AN17" i="46"/>
  <c r="AM17" i="46"/>
  <c r="AO17" i="46"/>
  <c r="AI5" i="46"/>
  <c r="AH5" i="46"/>
  <c r="AJ5" i="46"/>
  <c r="AG5" i="46"/>
  <c r="AN6" i="44"/>
  <c r="AM6" i="44"/>
  <c r="AL6" i="44"/>
  <c r="AO6" i="44"/>
  <c r="AN34" i="41"/>
  <c r="AM25" i="37"/>
  <c r="AN8" i="58"/>
  <c r="AO8" i="58"/>
  <c r="AP8" i="58"/>
  <c r="AM8" i="58"/>
  <c r="AO22" i="37"/>
  <c r="AL22" i="37"/>
  <c r="AI22" i="78"/>
  <c r="AK22" i="78"/>
  <c r="AH22" i="78"/>
  <c r="AJ22" i="78"/>
  <c r="AM5" i="45"/>
  <c r="AN5" i="45"/>
  <c r="AO5" i="45"/>
  <c r="AL5" i="45"/>
  <c r="AM22" i="37"/>
  <c r="AP22" i="85"/>
  <c r="AN22" i="85"/>
  <c r="AH14" i="85"/>
  <c r="AK14" i="85"/>
  <c r="AI14" i="85"/>
  <c r="AJ14" i="85"/>
  <c r="AE13" i="46"/>
  <c r="AC13" i="46"/>
  <c r="AD13" i="46"/>
  <c r="AB13" i="46"/>
  <c r="AH30" i="37"/>
  <c r="AI30" i="37"/>
  <c r="AG30" i="37"/>
  <c r="AJ30" i="37"/>
  <c r="AI23" i="85"/>
  <c r="AJ23" i="85"/>
  <c r="AH23" i="85"/>
  <c r="AK23" i="85"/>
  <c r="AP22" i="58"/>
  <c r="AM34" i="44"/>
  <c r="AO34" i="44"/>
  <c r="AN34" i="44"/>
  <c r="AL15" i="41"/>
  <c r="AN15" i="41"/>
  <c r="AO15" i="41"/>
  <c r="AM15" i="41"/>
  <c r="AM8" i="72"/>
  <c r="AP8" i="72"/>
  <c r="AO8" i="72"/>
  <c r="AN8" i="72"/>
  <c r="AO22" i="41"/>
  <c r="AO34" i="78"/>
  <c r="AO17" i="78" s="1"/>
  <c r="AP23" i="85"/>
  <c r="AN23" i="85"/>
  <c r="AM22" i="58"/>
  <c r="AB6" i="45"/>
  <c r="AC6" i="45"/>
  <c r="AD6" i="45"/>
  <c r="AE6" i="45"/>
  <c r="AI30" i="85"/>
  <c r="AJ30" i="85"/>
  <c r="AK30" i="85"/>
  <c r="AH30" i="85"/>
  <c r="AK6" i="78"/>
  <c r="AI6" i="78"/>
  <c r="AJ6" i="78"/>
  <c r="AH6" i="78"/>
  <c r="AD15" i="72"/>
  <c r="AE15" i="72"/>
  <c r="AF15" i="72"/>
  <c r="AC15" i="72"/>
  <c r="AJ34" i="45"/>
  <c r="AH34" i="45"/>
  <c r="AI34" i="45"/>
  <c r="AG34" i="45"/>
  <c r="AM15" i="45"/>
  <c r="AN15" i="45"/>
  <c r="AO15" i="45"/>
  <c r="AL15" i="45"/>
  <c r="AJ13" i="58"/>
  <c r="AH13" i="58"/>
  <c r="AK13" i="58"/>
  <c r="AI13" i="58"/>
  <c r="AM17" i="44"/>
  <c r="AN17" i="44"/>
  <c r="AO17" i="44"/>
  <c r="AL17" i="44"/>
  <c r="AC14" i="45"/>
  <c r="AD14" i="45"/>
  <c r="AE14" i="45"/>
  <c r="AB14" i="45"/>
  <c r="AJ5" i="72"/>
  <c r="AI5" i="72"/>
  <c r="AK5" i="72"/>
  <c r="AH5" i="72"/>
  <c r="AH30" i="72"/>
  <c r="AK30" i="72"/>
  <c r="AJ30" i="72"/>
  <c r="AI30" i="72"/>
  <c r="AD17" i="46"/>
  <c r="AC17" i="46"/>
  <c r="AE17" i="46"/>
  <c r="AB17" i="46"/>
  <c r="AH22" i="58"/>
  <c r="AK22" i="58"/>
  <c r="AJ22" i="58"/>
  <c r="AI22" i="58"/>
  <c r="AN22" i="72"/>
  <c r="AO22" i="72"/>
  <c r="AJ34" i="46"/>
  <c r="AG34" i="46"/>
  <c r="AH34" i="46"/>
  <c r="AI34" i="46"/>
  <c r="AE30" i="46"/>
  <c r="AD30" i="46"/>
  <c r="AB30" i="46"/>
  <c r="AC30" i="46"/>
  <c r="AE30" i="37"/>
  <c r="AC30" i="37"/>
  <c r="AB30" i="37"/>
  <c r="AD30" i="37"/>
  <c r="AM6" i="41"/>
  <c r="AN6" i="41"/>
  <c r="AL6" i="41"/>
  <c r="AO6" i="41"/>
  <c r="AO6" i="45"/>
  <c r="AM6" i="45"/>
  <c r="AN6" i="45"/>
  <c r="AL6" i="45"/>
  <c r="AC14" i="78"/>
  <c r="AF14" i="78"/>
  <c r="AD14" i="78"/>
  <c r="AE14" i="78"/>
  <c r="AO14" i="45"/>
  <c r="AM14" i="45"/>
  <c r="AN14" i="45"/>
  <c r="AL14" i="45"/>
  <c r="AC30" i="44"/>
  <c r="AB30" i="44"/>
  <c r="AE30" i="44"/>
  <c r="AD30" i="44"/>
  <c r="AG25" i="41"/>
  <c r="AJ25" i="41"/>
  <c r="AI25" i="41"/>
  <c r="AH25" i="41"/>
  <c r="AM32" i="58"/>
  <c r="AO32" i="58"/>
  <c r="AN32" i="58"/>
  <c r="AF8" i="78"/>
  <c r="AD8" i="78"/>
  <c r="AE8" i="78"/>
  <c r="AC8" i="78"/>
  <c r="AL5" i="78"/>
  <c r="AO22" i="78"/>
  <c r="AO5" i="78" s="1"/>
  <c r="AI13" i="78"/>
  <c r="AJ13" i="78"/>
  <c r="AK13" i="78"/>
  <c r="AH13" i="78"/>
  <c r="AH8" i="72"/>
  <c r="AK8" i="72"/>
  <c r="AI8" i="72"/>
  <c r="AJ8" i="72"/>
  <c r="AL13" i="78"/>
  <c r="AM30" i="78"/>
  <c r="AM13" i="78" s="1"/>
  <c r="AO30" i="78"/>
  <c r="AO13" i="78" s="1"/>
  <c r="AN30" i="78"/>
  <c r="AN13" i="78" s="1"/>
  <c r="AP30" i="78"/>
  <c r="AP13" i="78" s="1"/>
  <c r="AC13" i="58"/>
  <c r="AF13" i="58"/>
  <c r="AE13" i="58"/>
  <c r="AD13" i="58"/>
  <c r="AI34" i="85"/>
  <c r="AJ34" i="85"/>
  <c r="AH34" i="85"/>
  <c r="AK34" i="85"/>
  <c r="AJ17" i="41"/>
  <c r="AH17" i="41"/>
  <c r="AI17" i="41"/>
  <c r="AG17" i="41"/>
  <c r="AN30" i="72"/>
  <c r="AP30" i="72"/>
  <c r="AM30" i="72"/>
  <c r="AI13" i="37"/>
  <c r="AG13" i="37"/>
  <c r="AH13" i="37"/>
  <c r="AJ13" i="37"/>
  <c r="AP15" i="85"/>
  <c r="AN15" i="85"/>
  <c r="AO15" i="85"/>
  <c r="AM15" i="85"/>
  <c r="AC22" i="37"/>
  <c r="AB22" i="37"/>
  <c r="AD22" i="37"/>
  <c r="AE22" i="37"/>
  <c r="AH8" i="78"/>
  <c r="AK8" i="78"/>
  <c r="AI8" i="78"/>
  <c r="AJ8" i="78"/>
  <c r="AB5" i="46"/>
  <c r="AE5" i="46"/>
  <c r="AD5" i="46"/>
  <c r="AC5" i="46"/>
  <c r="AF13" i="78"/>
  <c r="AD13" i="78"/>
  <c r="AC13" i="78"/>
  <c r="AE13" i="78"/>
  <c r="AE6" i="44"/>
  <c r="AD6" i="44"/>
  <c r="AC6" i="44"/>
  <c r="AB6" i="44"/>
  <c r="AM8" i="46"/>
  <c r="AN8" i="46"/>
  <c r="AL8" i="46"/>
  <c r="AO8" i="46"/>
  <c r="AI14" i="46"/>
  <c r="AH14" i="46"/>
  <c r="AG14" i="46"/>
  <c r="AJ14" i="46"/>
  <c r="AM34" i="41"/>
  <c r="AO22" i="58"/>
  <c r="AL5" i="44"/>
  <c r="AO5" i="44"/>
  <c r="AN5" i="44"/>
  <c r="AM5" i="44"/>
  <c r="AF8" i="58"/>
  <c r="AE8" i="58"/>
  <c r="AC8" i="58"/>
  <c r="AD8" i="58"/>
  <c r="AI13" i="44"/>
  <c r="AH13" i="44"/>
  <c r="AJ13" i="44"/>
  <c r="AG13" i="44"/>
  <c r="AE5" i="45"/>
  <c r="AC5" i="45"/>
  <c r="AB5" i="45"/>
  <c r="AD5" i="45"/>
  <c r="AC25" i="72"/>
  <c r="AF25" i="72"/>
  <c r="AE25" i="72"/>
  <c r="AD25" i="72"/>
  <c r="AM14" i="85"/>
  <c r="AP14" i="85"/>
  <c r="AN14" i="85"/>
  <c r="AO14" i="85"/>
  <c r="AJ30" i="41"/>
  <c r="AG30" i="41"/>
  <c r="AH30" i="41"/>
  <c r="AI30" i="41"/>
  <c r="AL8" i="45"/>
  <c r="AN8" i="45"/>
  <c r="AO8" i="45"/>
  <c r="AM8" i="45"/>
  <c r="AH17" i="78"/>
  <c r="AK17" i="78"/>
  <c r="AJ17" i="78"/>
  <c r="AI17" i="78"/>
  <c r="AH6" i="58"/>
  <c r="AK6" i="58"/>
  <c r="AI6" i="58"/>
  <c r="AJ6" i="58"/>
  <c r="AH5" i="85"/>
  <c r="AK5" i="85"/>
  <c r="AI5" i="85"/>
  <c r="AJ5" i="85"/>
  <c r="AH25" i="37"/>
  <c r="AI25" i="37"/>
  <c r="AJ25" i="37"/>
  <c r="AG25" i="37"/>
  <c r="AE15" i="41"/>
  <c r="AB15" i="41"/>
  <c r="AC15" i="41"/>
  <c r="AD15" i="41"/>
  <c r="AE8" i="72"/>
  <c r="AC8" i="72"/>
  <c r="AF8" i="72"/>
  <c r="AD8" i="72"/>
  <c r="AI30" i="78"/>
  <c r="AH30" i="78"/>
  <c r="AK30" i="78"/>
  <c r="AJ30" i="78"/>
  <c r="AL14" i="37"/>
  <c r="AO14" i="37"/>
  <c r="AM14" i="37"/>
  <c r="AN14" i="37"/>
  <c r="AI5" i="41"/>
  <c r="AH5" i="41"/>
  <c r="AG5" i="41"/>
  <c r="AJ5" i="41"/>
  <c r="AB15" i="45"/>
  <c r="AC15" i="45"/>
  <c r="AE15" i="45"/>
  <c r="AD15" i="45"/>
  <c r="AC17" i="44"/>
  <c r="AD17" i="44"/>
  <c r="AE17" i="44"/>
  <c r="AB17" i="44"/>
  <c r="AM22" i="78"/>
  <c r="AM5" i="78" s="1"/>
  <c r="AO17" i="41"/>
  <c r="AM17" i="41"/>
  <c r="AN17" i="41"/>
  <c r="AL17" i="41"/>
  <c r="AC5" i="72"/>
  <c r="AD5" i="72"/>
  <c r="AE5" i="72"/>
  <c r="AF5" i="72"/>
  <c r="AE30" i="72"/>
  <c r="AD30" i="72"/>
  <c r="AC30" i="72"/>
  <c r="AF30" i="72"/>
  <c r="AE17" i="72"/>
  <c r="AC17" i="72"/>
  <c r="AF17" i="72"/>
  <c r="AD17" i="72"/>
  <c r="AE8" i="85"/>
  <c r="AD8" i="85"/>
  <c r="AF8" i="85"/>
  <c r="AC8" i="85"/>
  <c r="AH25" i="78"/>
  <c r="AK25" i="78"/>
  <c r="AI25" i="78"/>
  <c r="AJ25" i="78"/>
  <c r="AJ15" i="72"/>
  <c r="AI15" i="72"/>
  <c r="AK15" i="72"/>
  <c r="AH15" i="72"/>
  <c r="AD34" i="46"/>
  <c r="AB34" i="46"/>
  <c r="AC34" i="46"/>
  <c r="AE34" i="46"/>
  <c r="AB13" i="45"/>
  <c r="AE13" i="45"/>
  <c r="AD13" i="45"/>
  <c r="AC13" i="45"/>
  <c r="AG22" i="37"/>
  <c r="AJ22" i="37"/>
  <c r="AI22" i="37"/>
  <c r="AH22" i="37"/>
  <c r="AB6" i="41"/>
  <c r="AC6" i="41"/>
  <c r="AD6" i="41"/>
  <c r="AE6" i="41"/>
  <c r="AH22" i="85"/>
  <c r="AK22" i="85"/>
  <c r="AJ22" i="85"/>
  <c r="AI22" i="85"/>
  <c r="AM30" i="37"/>
  <c r="AH22" i="46"/>
  <c r="AI22" i="46"/>
  <c r="AG22" i="46"/>
  <c r="AJ22" i="46"/>
  <c r="AO5" i="46"/>
  <c r="AM5" i="46"/>
  <c r="AN5" i="46"/>
  <c r="AL5" i="46"/>
  <c r="AG6" i="44"/>
  <c r="AJ6" i="44"/>
  <c r="AH6" i="44"/>
  <c r="AI6" i="44"/>
  <c r="AJ8" i="58"/>
  <c r="AI8" i="58"/>
  <c r="AH8" i="58"/>
  <c r="AK8" i="58"/>
  <c r="AM13" i="44"/>
  <c r="AN13" i="44"/>
  <c r="AO13" i="44"/>
  <c r="AL13" i="44"/>
  <c r="AM6" i="58"/>
  <c r="AP6" i="58"/>
  <c r="AN6" i="58"/>
  <c r="AO6" i="58"/>
  <c r="AN22" i="78"/>
  <c r="AN5" i="78" s="1"/>
  <c r="AG15" i="41"/>
  <c r="AI15" i="41"/>
  <c r="AH15" i="41"/>
  <c r="AJ15" i="41"/>
  <c r="AE30" i="85"/>
  <c r="AD30" i="85"/>
  <c r="AC30" i="85"/>
  <c r="AF30" i="85"/>
  <c r="AL30" i="37"/>
  <c r="AL6" i="37"/>
  <c r="AO6" i="37"/>
  <c r="AM6" i="37"/>
  <c r="AN6" i="37"/>
  <c r="AL13" i="37"/>
  <c r="AO13" i="37"/>
  <c r="AM13" i="37"/>
  <c r="AN13" i="37"/>
  <c r="AH15" i="85"/>
  <c r="AK15" i="85"/>
  <c r="AI15" i="85"/>
  <c r="AJ15" i="85"/>
  <c r="AI22" i="72"/>
  <c r="AJ22" i="72"/>
  <c r="AH22" i="72"/>
  <c r="AK22" i="72"/>
  <c r="AH25" i="44"/>
  <c r="AI25" i="44"/>
  <c r="AJ25" i="44"/>
  <c r="AG25" i="44"/>
  <c r="AN13" i="72"/>
  <c r="AO13" i="72"/>
  <c r="AP13" i="72"/>
  <c r="AM13" i="72"/>
  <c r="AI8" i="37"/>
  <c r="AH8" i="37"/>
  <c r="AG8" i="37"/>
  <c r="AJ8" i="37"/>
  <c r="AB22" i="44"/>
  <c r="AE22" i="44"/>
  <c r="AD22" i="44"/>
  <c r="AC22" i="44"/>
  <c r="AN14" i="44"/>
  <c r="AM14" i="44"/>
  <c r="AL14" i="44"/>
  <c r="AO14" i="44"/>
  <c r="AG8" i="46"/>
  <c r="AJ8" i="46"/>
  <c r="AH8" i="46"/>
  <c r="AI8" i="46"/>
  <c r="AJ13" i="85"/>
  <c r="AI13" i="85"/>
  <c r="AH13" i="85"/>
  <c r="AK13" i="85"/>
  <c r="AL25" i="37"/>
  <c r="AL14" i="46"/>
  <c r="AO14" i="46"/>
  <c r="AN14" i="46"/>
  <c r="AM14" i="46"/>
  <c r="AO17" i="58"/>
  <c r="AN17" i="58"/>
  <c r="AP17" i="58"/>
  <c r="AM17" i="58"/>
  <c r="AG5" i="44"/>
  <c r="AJ5" i="44"/>
  <c r="AH5" i="44"/>
  <c r="AI5" i="44"/>
  <c r="AK14" i="72"/>
  <c r="AI14" i="72"/>
  <c r="AJ14" i="72"/>
  <c r="AH14" i="72"/>
  <c r="AM6" i="72"/>
  <c r="AP6" i="72"/>
  <c r="AN6" i="72"/>
  <c r="AO6" i="72"/>
  <c r="AB13" i="44"/>
  <c r="AE13" i="44"/>
  <c r="AC13" i="44"/>
  <c r="AD13" i="44"/>
  <c r="AN6" i="85"/>
  <c r="AO6" i="85"/>
  <c r="AP6" i="85"/>
  <c r="AM6" i="85"/>
  <c r="AN30" i="41"/>
  <c r="AO30" i="41"/>
  <c r="AM30" i="41"/>
  <c r="AI14" i="41"/>
  <c r="AH14" i="41"/>
  <c r="AG14" i="41"/>
  <c r="AJ14" i="41"/>
  <c r="AG8" i="45"/>
  <c r="AJ8" i="45"/>
  <c r="AH8" i="45"/>
  <c r="AI8" i="45"/>
  <c r="AC17" i="78"/>
  <c r="AF17" i="78"/>
  <c r="AD17" i="78"/>
  <c r="AE17" i="78"/>
  <c r="AC6" i="58"/>
  <c r="AD6" i="58"/>
  <c r="AE6" i="58"/>
  <c r="AF6" i="58"/>
  <c r="AC5" i="85"/>
  <c r="AE5" i="85"/>
  <c r="AD5" i="85"/>
  <c r="AF5" i="85"/>
  <c r="AI8" i="44"/>
  <c r="AH8" i="44"/>
  <c r="AJ8" i="44"/>
  <c r="AG8" i="44"/>
  <c r="AC30" i="78"/>
  <c r="AF30" i="78"/>
  <c r="AD30" i="78"/>
  <c r="AE30" i="78"/>
  <c r="AG14" i="37"/>
  <c r="AJ14" i="37"/>
  <c r="AH14" i="37"/>
  <c r="AI14" i="37"/>
  <c r="AO30" i="37"/>
  <c r="AO15" i="46"/>
  <c r="AM15" i="46"/>
  <c r="AN15" i="46"/>
  <c r="AL15" i="46"/>
  <c r="AL5" i="41"/>
  <c r="AN5" i="41"/>
  <c r="AO5" i="41"/>
  <c r="AM5" i="41"/>
  <c r="AC15" i="78"/>
  <c r="AF15" i="78"/>
  <c r="AD15" i="78"/>
  <c r="AE15" i="78"/>
  <c r="AJ30" i="45"/>
  <c r="AG30" i="45"/>
  <c r="AH30" i="45"/>
  <c r="AI30" i="45"/>
  <c r="AK15" i="58"/>
  <c r="AI15" i="58"/>
  <c r="AJ15" i="58"/>
  <c r="AH15" i="58"/>
  <c r="AB17" i="41"/>
  <c r="AE17" i="41"/>
  <c r="AD17" i="41"/>
  <c r="AC17" i="41"/>
  <c r="AP22" i="72"/>
  <c r="AB5" i="37"/>
  <c r="AE5" i="37"/>
  <c r="AC5" i="37"/>
  <c r="AD5" i="37"/>
  <c r="AE17" i="45"/>
  <c r="AC17" i="45"/>
  <c r="AB17" i="45"/>
  <c r="AD17" i="45"/>
  <c r="AL15" i="44"/>
  <c r="AO15" i="44"/>
  <c r="AM15" i="44"/>
  <c r="AN15" i="44"/>
  <c r="AD23" i="58"/>
  <c r="AE23" i="58"/>
  <c r="AF23" i="58"/>
  <c r="AC23" i="58"/>
  <c r="AI5" i="45"/>
  <c r="AH5" i="45"/>
  <c r="AJ5" i="45"/>
  <c r="AG5" i="45"/>
  <c r="AC14" i="85"/>
  <c r="AD14" i="85"/>
  <c r="AE14" i="85"/>
  <c r="AF14" i="85"/>
  <c r="AM5" i="85"/>
  <c r="AO5" i="85"/>
  <c r="AP5" i="85"/>
  <c r="AN5" i="85"/>
  <c r="AM22" i="72"/>
  <c r="AJ34" i="41"/>
  <c r="AH34" i="41"/>
  <c r="AG34" i="41"/>
  <c r="AI34" i="41"/>
  <c r="AE6" i="78"/>
  <c r="AC6" i="78"/>
  <c r="AF6" i="78"/>
  <c r="AD6" i="78"/>
  <c r="AG15" i="45"/>
  <c r="AI15" i="45"/>
  <c r="AH15" i="45"/>
  <c r="AJ15" i="45"/>
  <c r="AG17" i="44"/>
  <c r="AH17" i="44"/>
  <c r="AI17" i="44"/>
  <c r="AJ17" i="44"/>
  <c r="AM5" i="72"/>
  <c r="AN5" i="72"/>
  <c r="AP5" i="72"/>
  <c r="AO5" i="72"/>
  <c r="AG6" i="37"/>
  <c r="AJ6" i="37"/>
  <c r="AH6" i="37"/>
  <c r="AI6" i="37"/>
  <c r="AB13" i="37"/>
  <c r="AD13" i="37"/>
  <c r="AC13" i="37"/>
  <c r="AE13" i="37"/>
  <c r="AD15" i="85"/>
  <c r="AE15" i="85"/>
  <c r="AF15" i="85"/>
  <c r="AC15" i="85"/>
  <c r="AN23" i="37"/>
  <c r="AL23" i="37"/>
  <c r="AM34" i="58"/>
  <c r="AH13" i="72"/>
  <c r="AK13" i="72"/>
  <c r="AI13" i="72"/>
  <c r="AJ13" i="72"/>
  <c r="AI34" i="58"/>
  <c r="AJ34" i="58"/>
  <c r="AH34" i="58"/>
  <c r="AK34" i="58"/>
  <c r="AN8" i="37"/>
  <c r="AM8" i="37"/>
  <c r="AL8" i="37"/>
  <c r="AO8" i="37"/>
  <c r="AG14" i="44"/>
  <c r="AJ14" i="44"/>
  <c r="AH14" i="44"/>
  <c r="AI14" i="44"/>
  <c r="AD8" i="46"/>
  <c r="AC8" i="46"/>
  <c r="AE8" i="46"/>
  <c r="AB8" i="46"/>
  <c r="AM13" i="85"/>
  <c r="AO13" i="85"/>
  <c r="AP13" i="85"/>
  <c r="AN13" i="85"/>
  <c r="AD14" i="46"/>
  <c r="AB14" i="46"/>
  <c r="AE14" i="46"/>
  <c r="AC14" i="46"/>
  <c r="AH17" i="58"/>
  <c r="AJ17" i="58"/>
  <c r="AI17" i="58"/>
  <c r="AK17" i="58"/>
  <c r="AE5" i="44"/>
  <c r="AD5" i="44"/>
  <c r="AC5" i="44"/>
  <c r="AB5" i="44"/>
  <c r="AO14" i="72"/>
  <c r="AN14" i="72"/>
  <c r="AP14" i="72"/>
  <c r="AM14" i="72"/>
  <c r="AM15" i="37"/>
  <c r="AN15" i="37"/>
  <c r="AO15" i="37"/>
  <c r="AL15" i="37"/>
  <c r="AL8" i="41"/>
  <c r="AO8" i="41"/>
  <c r="AN8" i="41"/>
  <c r="AM8" i="41"/>
  <c r="AK6" i="72"/>
  <c r="AI6" i="72"/>
  <c r="AJ6" i="72"/>
  <c r="AH6" i="72"/>
  <c r="AJ17" i="85"/>
  <c r="AI17" i="85"/>
  <c r="AK17" i="85"/>
  <c r="AH17" i="85"/>
  <c r="AH6" i="85"/>
  <c r="AK6" i="85"/>
  <c r="AI6" i="85"/>
  <c r="AJ6" i="85"/>
  <c r="AM5" i="37"/>
  <c r="AN5" i="37"/>
  <c r="AO5" i="37"/>
  <c r="AL5" i="37"/>
  <c r="AN17" i="72"/>
  <c r="AO17" i="72"/>
  <c r="AP17" i="72"/>
  <c r="AM17" i="72"/>
  <c r="AG17" i="37"/>
  <c r="AI17" i="37"/>
  <c r="AH17" i="37"/>
  <c r="AJ17" i="37"/>
  <c r="AE30" i="41"/>
  <c r="AC30" i="41"/>
  <c r="AD30" i="41"/>
  <c r="AB30" i="41"/>
  <c r="AO30" i="46"/>
  <c r="AN30" i="46"/>
  <c r="AM30" i="46"/>
  <c r="AL30" i="46"/>
  <c r="AM14" i="41"/>
  <c r="AN14" i="41"/>
  <c r="AL14" i="41"/>
  <c r="AO14" i="41"/>
  <c r="AE8" i="45"/>
  <c r="AC8" i="45"/>
  <c r="AB8" i="45"/>
  <c r="AD8" i="45"/>
  <c r="AL8" i="44"/>
  <c r="AO8" i="44"/>
  <c r="AM8" i="44"/>
  <c r="AN8" i="44"/>
  <c r="AI6" i="46"/>
  <c r="AH6" i="46"/>
  <c r="AJ6" i="46"/>
  <c r="AG6" i="46"/>
  <c r="AJ17" i="45"/>
  <c r="AH17" i="45"/>
  <c r="AI17" i="45"/>
  <c r="AG17" i="45"/>
  <c r="AO22" i="44"/>
  <c r="AL22" i="44"/>
  <c r="AM14" i="58"/>
  <c r="AP14" i="58"/>
  <c r="AN14" i="58"/>
  <c r="AO14" i="58"/>
  <c r="AK8" i="85"/>
  <c r="AI8" i="85"/>
  <c r="AJ8" i="85"/>
  <c r="AH8" i="85"/>
  <c r="AL34" i="44"/>
  <c r="AB14" i="37"/>
  <c r="AE14" i="37"/>
  <c r="AD14" i="37"/>
  <c r="AC14" i="37"/>
  <c r="AN22" i="44"/>
  <c r="AG15" i="46"/>
  <c r="AH15" i="46"/>
  <c r="AI15" i="46"/>
  <c r="AJ15" i="46"/>
  <c r="AP30" i="58"/>
  <c r="AO30" i="58"/>
  <c r="AN30" i="58"/>
  <c r="AM30" i="58"/>
  <c r="AJ34" i="78"/>
  <c r="AH34" i="78"/>
  <c r="AK34" i="78"/>
  <c r="AI34" i="78"/>
  <c r="AB5" i="41"/>
  <c r="AE5" i="41"/>
  <c r="AC5" i="41"/>
  <c r="AD5" i="41"/>
  <c r="AH15" i="78"/>
  <c r="AK15" i="78"/>
  <c r="AI15" i="78"/>
  <c r="AJ15" i="78"/>
  <c r="AL30" i="45"/>
  <c r="AO30" i="45"/>
  <c r="AN30" i="45"/>
  <c r="AM30" i="45"/>
  <c r="AM15" i="58"/>
  <c r="AP15" i="58"/>
  <c r="AN15" i="58"/>
  <c r="AO15" i="58"/>
  <c r="AM22" i="85"/>
  <c r="I63" i="47" l="1"/>
  <c r="I39" i="47"/>
  <c r="AR16" i="72"/>
  <c r="J18" i="47" s="1"/>
  <c r="J62" i="47" s="1"/>
  <c r="AT7" i="78"/>
  <c r="AU7" i="78" s="1"/>
  <c r="AT18" i="78"/>
  <c r="AU18" i="78" s="1"/>
  <c r="AQ16" i="85"/>
  <c r="T8" i="47" s="1"/>
  <c r="T52" i="47" s="1"/>
  <c r="AQ16" i="78"/>
  <c r="AF8" i="47" s="1"/>
  <c r="AF52" i="47" s="1"/>
  <c r="AQ5" i="78"/>
  <c r="AE5" i="47" s="1"/>
  <c r="AS7" i="58"/>
  <c r="K27" i="47" s="1"/>
  <c r="K71" i="47" s="1"/>
  <c r="AR16" i="78"/>
  <c r="AF18" i="47" s="1"/>
  <c r="AF62" i="47" s="1"/>
  <c r="AF68" i="47"/>
  <c r="AQ5" i="58"/>
  <c r="K5" i="47" s="1"/>
  <c r="AR16" i="85"/>
  <c r="T18" i="47" s="1"/>
  <c r="T62" i="47" s="1"/>
  <c r="AR7" i="58"/>
  <c r="K17" i="47" s="1"/>
  <c r="K61" i="47" s="1"/>
  <c r="AQ7" i="41"/>
  <c r="G17" i="47" s="1"/>
  <c r="G37" i="47" s="1"/>
  <c r="G81" i="47" s="1"/>
  <c r="AQ16" i="44"/>
  <c r="P18" i="47" s="1"/>
  <c r="P62" i="47" s="1"/>
  <c r="AP16" i="44"/>
  <c r="P8" i="47" s="1"/>
  <c r="P52" i="47" s="1"/>
  <c r="AS16" i="72"/>
  <c r="J28" i="47" s="1"/>
  <c r="J72" i="47" s="1"/>
  <c r="AS16" i="85"/>
  <c r="T28" i="47" s="1"/>
  <c r="T72" i="47" s="1"/>
  <c r="AR18" i="85"/>
  <c r="T20" i="47" s="1"/>
  <c r="T64" i="47" s="1"/>
  <c r="AS15" i="78"/>
  <c r="AF25" i="47" s="1"/>
  <c r="AF69" i="47" s="1"/>
  <c r="AQ16" i="72"/>
  <c r="J8" i="47" s="1"/>
  <c r="J52" i="47" s="1"/>
  <c r="AS6" i="78"/>
  <c r="AE26" i="47" s="1"/>
  <c r="AE70" i="47" s="1"/>
  <c r="AQ7" i="58"/>
  <c r="K7" i="47" s="1"/>
  <c r="K51" i="47" s="1"/>
  <c r="AP7" i="41"/>
  <c r="G7" i="47" s="1"/>
  <c r="G51" i="47" s="1"/>
  <c r="AS8" i="78"/>
  <c r="AE28" i="47" s="1"/>
  <c r="AE72" i="47" s="1"/>
  <c r="AQ16" i="45"/>
  <c r="N18" i="47" s="1"/>
  <c r="N62" i="47" s="1"/>
  <c r="AQ18" i="45"/>
  <c r="N20" i="47" s="1"/>
  <c r="N64" i="47" s="1"/>
  <c r="AS17" i="78"/>
  <c r="AF27" i="47" s="1"/>
  <c r="AF71" i="47" s="1"/>
  <c r="AS5" i="58"/>
  <c r="K25" i="47" s="1"/>
  <c r="AS5" i="78"/>
  <c r="AE25" i="47" s="1"/>
  <c r="AE31" i="47" s="1"/>
  <c r="AR16" i="45"/>
  <c r="N28" i="47" s="1"/>
  <c r="N72" i="47" s="1"/>
  <c r="AP7" i="46"/>
  <c r="Q7" i="47" s="1"/>
  <c r="Q51" i="47" s="1"/>
  <c r="AR5" i="78"/>
  <c r="AQ16" i="58"/>
  <c r="L8" i="47" s="1"/>
  <c r="L52" i="47" s="1"/>
  <c r="AR5" i="58"/>
  <c r="K15" i="47" s="1"/>
  <c r="AQ7" i="46"/>
  <c r="Q17" i="47" s="1"/>
  <c r="Q61" i="47" s="1"/>
  <c r="AP18" i="45"/>
  <c r="N10" i="47" s="1"/>
  <c r="N54" i="47" s="1"/>
  <c r="AR16" i="46"/>
  <c r="R28" i="47" s="1"/>
  <c r="R72" i="47" s="1"/>
  <c r="AQ18" i="46"/>
  <c r="R20" i="47" s="1"/>
  <c r="R64" i="47" s="1"/>
  <c r="AP16" i="45"/>
  <c r="N8" i="47" s="1"/>
  <c r="N52" i="47" s="1"/>
  <c r="AQ16" i="37"/>
  <c r="F18" i="47" s="1"/>
  <c r="AR18" i="41"/>
  <c r="H30" i="47" s="1"/>
  <c r="H74" i="47" s="1"/>
  <c r="AS16" i="58"/>
  <c r="L28" i="47" s="1"/>
  <c r="L72" i="47" s="1"/>
  <c r="AR16" i="37"/>
  <c r="F28" i="47" s="1"/>
  <c r="F72" i="47" s="1"/>
  <c r="AR7" i="72"/>
  <c r="I17" i="47" s="1"/>
  <c r="AR16" i="44"/>
  <c r="P28" i="47" s="1"/>
  <c r="P72" i="47" s="1"/>
  <c r="AQ7" i="37"/>
  <c r="E17" i="47" s="1"/>
  <c r="E61" i="47" s="1"/>
  <c r="AR16" i="58"/>
  <c r="L18" i="47" s="1"/>
  <c r="L62" i="47" s="1"/>
  <c r="AQ16" i="46"/>
  <c r="R18" i="47" s="1"/>
  <c r="AS18" i="85"/>
  <c r="T30" i="47" s="1"/>
  <c r="T74" i="47" s="1"/>
  <c r="AS7" i="72"/>
  <c r="I27" i="47" s="1"/>
  <c r="AP16" i="37"/>
  <c r="F8" i="47" s="1"/>
  <c r="F52" i="47" s="1"/>
  <c r="AS9" i="44"/>
  <c r="AQ7" i="45"/>
  <c r="M17" i="47" s="1"/>
  <c r="AR7" i="45"/>
  <c r="M27" i="47" s="1"/>
  <c r="M71" i="47" s="1"/>
  <c r="AS7" i="85"/>
  <c r="S27" i="47" s="1"/>
  <c r="S71" i="47" s="1"/>
  <c r="AR7" i="85"/>
  <c r="AP16" i="46"/>
  <c r="R8" i="47" s="1"/>
  <c r="R52" i="47" s="1"/>
  <c r="AR7" i="37"/>
  <c r="E27" i="47" s="1"/>
  <c r="AR18" i="45"/>
  <c r="N30" i="47" s="1"/>
  <c r="N74" i="47" s="1"/>
  <c r="I53" i="47"/>
  <c r="AR18" i="58"/>
  <c r="L20" i="47" s="1"/>
  <c r="AR18" i="37"/>
  <c r="F30" i="47" s="1"/>
  <c r="F74" i="47" s="1"/>
  <c r="AQ18" i="72"/>
  <c r="J10" i="47" s="1"/>
  <c r="J54" i="47" s="1"/>
  <c r="AS18" i="58"/>
  <c r="L30" i="47" s="1"/>
  <c r="L74" i="47" s="1"/>
  <c r="AS18" i="72"/>
  <c r="J30" i="47" s="1"/>
  <c r="J74" i="47" s="1"/>
  <c r="AR18" i="44"/>
  <c r="P30" i="47" s="1"/>
  <c r="P74" i="47" s="1"/>
  <c r="AR18" i="46"/>
  <c r="R30" i="47" s="1"/>
  <c r="R74" i="47" s="1"/>
  <c r="AT9" i="72"/>
  <c r="I83" i="47"/>
  <c r="AQ18" i="37"/>
  <c r="F20" i="47" s="1"/>
  <c r="F64" i="47" s="1"/>
  <c r="AR18" i="72"/>
  <c r="J20" i="47" s="1"/>
  <c r="J64" i="47" s="1"/>
  <c r="AQ18" i="44"/>
  <c r="P20" i="47" s="1"/>
  <c r="P64" i="47" s="1"/>
  <c r="AQ18" i="41"/>
  <c r="H20" i="47" s="1"/>
  <c r="H64" i="47" s="1"/>
  <c r="AR8" i="45"/>
  <c r="M28" i="47" s="1"/>
  <c r="M72" i="47" s="1"/>
  <c r="AS17" i="72"/>
  <c r="J29" i="47" s="1"/>
  <c r="J73" i="47" s="1"/>
  <c r="AR15" i="37"/>
  <c r="F27" i="47" s="1"/>
  <c r="F71" i="47" s="1"/>
  <c r="AP14" i="46"/>
  <c r="R6" i="47" s="1"/>
  <c r="R50" i="47" s="1"/>
  <c r="AR13" i="72"/>
  <c r="J15" i="47" s="1"/>
  <c r="AS9" i="37"/>
  <c r="E19" i="47"/>
  <c r="E63" i="47" s="1"/>
  <c r="AT9" i="58"/>
  <c r="AE17" i="47"/>
  <c r="AE37" i="47" s="1"/>
  <c r="AE81" i="47" s="1"/>
  <c r="AT10" i="72"/>
  <c r="AS9" i="45"/>
  <c r="AC30" i="47"/>
  <c r="AC74" i="47" s="1"/>
  <c r="AS7" i="44"/>
  <c r="AQ15" i="58"/>
  <c r="L7" i="47" s="1"/>
  <c r="L51" i="47" s="1"/>
  <c r="AS10" i="37"/>
  <c r="E20" i="47"/>
  <c r="E40" i="47" s="1"/>
  <c r="I20" i="47"/>
  <c r="I40" i="47" s="1"/>
  <c r="I71" i="47"/>
  <c r="AS16" i="41"/>
  <c r="AP17" i="45"/>
  <c r="N9" i="47" s="1"/>
  <c r="N53" i="47" s="1"/>
  <c r="AQ17" i="78"/>
  <c r="AF9" i="47" s="1"/>
  <c r="AF53" i="47" s="1"/>
  <c r="AR14" i="72"/>
  <c r="J16" i="47" s="1"/>
  <c r="AR8" i="44"/>
  <c r="O28" i="47" s="1"/>
  <c r="O72" i="47" s="1"/>
  <c r="AQ17" i="85"/>
  <c r="T9" i="47" s="1"/>
  <c r="T53" i="47" s="1"/>
  <c r="AR13" i="41"/>
  <c r="H25" i="47" s="1"/>
  <c r="AQ17" i="58"/>
  <c r="L9" i="47" s="1"/>
  <c r="L53" i="47" s="1"/>
  <c r="AT9" i="78"/>
  <c r="AU9" i="78" s="1"/>
  <c r="E74" i="47"/>
  <c r="AR6" i="58"/>
  <c r="K16" i="47" s="1"/>
  <c r="AR15" i="58"/>
  <c r="L17" i="47" s="1"/>
  <c r="AS9" i="46"/>
  <c r="AS15" i="58"/>
  <c r="L27" i="47" s="1"/>
  <c r="L71" i="47" s="1"/>
  <c r="AR15" i="78"/>
  <c r="AF17" i="47" s="1"/>
  <c r="AR5" i="46"/>
  <c r="Q25" i="47" s="1"/>
  <c r="AS15" i="85"/>
  <c r="T27" i="47" s="1"/>
  <c r="T71" i="47" s="1"/>
  <c r="AQ8" i="78"/>
  <c r="AE8" i="47" s="1"/>
  <c r="AE52" i="47" s="1"/>
  <c r="AS8" i="58"/>
  <c r="K28" i="47" s="1"/>
  <c r="K72" i="47" s="1"/>
  <c r="AQ6" i="45"/>
  <c r="M16" i="47" s="1"/>
  <c r="AP13" i="44"/>
  <c r="P5" i="47" s="1"/>
  <c r="AP14" i="37"/>
  <c r="F6" i="47" s="1"/>
  <c r="F50" i="47" s="1"/>
  <c r="AQ6" i="46"/>
  <c r="Q16" i="47" s="1"/>
  <c r="AR5" i="41"/>
  <c r="G25" i="47" s="1"/>
  <c r="AQ8" i="44"/>
  <c r="O18" i="47" s="1"/>
  <c r="AR6" i="44"/>
  <c r="O26" i="47" s="1"/>
  <c r="O70" i="47" s="1"/>
  <c r="AS15" i="72"/>
  <c r="J27" i="47" s="1"/>
  <c r="J71" i="47" s="1"/>
  <c r="O19" i="47"/>
  <c r="O63" i="47" s="1"/>
  <c r="AS5" i="85"/>
  <c r="S25" i="47" s="1"/>
  <c r="AQ8" i="45"/>
  <c r="AQ17" i="72"/>
  <c r="J9" i="47" s="1"/>
  <c r="J53" i="47" s="1"/>
  <c r="AR8" i="85"/>
  <c r="S18" i="47" s="1"/>
  <c r="AP8" i="45"/>
  <c r="M8" i="47" s="1"/>
  <c r="M52" i="47" s="1"/>
  <c r="AR15" i="44"/>
  <c r="P27" i="47" s="1"/>
  <c r="P71" i="47" s="1"/>
  <c r="AS6" i="85"/>
  <c r="S26" i="47" s="1"/>
  <c r="S70" i="47" s="1"/>
  <c r="AS13" i="72"/>
  <c r="J25" i="47" s="1"/>
  <c r="AS10" i="44"/>
  <c r="AR13" i="44"/>
  <c r="P25" i="47" s="1"/>
  <c r="AQ8" i="58"/>
  <c r="K8" i="47" s="1"/>
  <c r="K52" i="47" s="1"/>
  <c r="AP6" i="45"/>
  <c r="M6" i="47" s="1"/>
  <c r="M50" i="47" s="1"/>
  <c r="AP5" i="46"/>
  <c r="Q5" i="47" s="1"/>
  <c r="AS14" i="72"/>
  <c r="J26" i="47" s="1"/>
  <c r="J70" i="47" s="1"/>
  <c r="AR6" i="37"/>
  <c r="E26" i="47" s="1"/>
  <c r="AQ15" i="41"/>
  <c r="H17" i="47" s="1"/>
  <c r="AR15" i="72"/>
  <c r="J17" i="47" s="1"/>
  <c r="AQ5" i="72"/>
  <c r="I5" i="47" s="1"/>
  <c r="AR17" i="44"/>
  <c r="P29" i="47" s="1"/>
  <c r="P73" i="47" s="1"/>
  <c r="AR15" i="45"/>
  <c r="N27" i="47" s="1"/>
  <c r="N71" i="47" s="1"/>
  <c r="AQ5" i="46"/>
  <c r="Q15" i="47" s="1"/>
  <c r="AQ14" i="45"/>
  <c r="N16" i="47" s="1"/>
  <c r="AS10" i="46"/>
  <c r="AT10" i="78"/>
  <c r="AU10" i="78" s="1"/>
  <c r="AC9" i="47"/>
  <c r="AC53" i="47" s="1"/>
  <c r="AP13" i="45"/>
  <c r="N5" i="47" s="1"/>
  <c r="AQ13" i="44"/>
  <c r="P15" i="47" s="1"/>
  <c r="AR17" i="78"/>
  <c r="AF19" i="47" s="1"/>
  <c r="AR17" i="41"/>
  <c r="H29" i="47" s="1"/>
  <c r="H73" i="47" s="1"/>
  <c r="AQ17" i="37"/>
  <c r="F19" i="47" s="1"/>
  <c r="AQ15" i="85"/>
  <c r="T7" i="47" s="1"/>
  <c r="T51" i="47" s="1"/>
  <c r="AR14" i="46"/>
  <c r="R26" i="47" s="1"/>
  <c r="R70" i="47" s="1"/>
  <c r="AR15" i="41"/>
  <c r="H27" i="47" s="1"/>
  <c r="H71" i="47" s="1"/>
  <c r="AQ6" i="41"/>
  <c r="AR17" i="72"/>
  <c r="AQ8" i="41"/>
  <c r="G18" i="47" s="1"/>
  <c r="AQ14" i="72"/>
  <c r="J6" i="47" s="1"/>
  <c r="J50" i="47" s="1"/>
  <c r="AQ13" i="85"/>
  <c r="T5" i="47" s="1"/>
  <c r="AP6" i="46"/>
  <c r="Q6" i="47" s="1"/>
  <c r="Q50" i="47" s="1"/>
  <c r="AR8" i="41"/>
  <c r="G28" i="47" s="1"/>
  <c r="G72" i="47" s="1"/>
  <c r="AQ14" i="44"/>
  <c r="P16" i="47" s="1"/>
  <c r="AQ6" i="58"/>
  <c r="K6" i="47" s="1"/>
  <c r="K50" i="47" s="1"/>
  <c r="AP6" i="44"/>
  <c r="O6" i="47" s="1"/>
  <c r="O50" i="47" s="1"/>
  <c r="AQ13" i="58"/>
  <c r="L5" i="47" s="1"/>
  <c r="AQ14" i="78"/>
  <c r="AF6" i="47" s="1"/>
  <c r="AF50" i="47" s="1"/>
  <c r="AS8" i="72"/>
  <c r="I28" i="47" s="1"/>
  <c r="AQ8" i="72"/>
  <c r="I8" i="47" s="1"/>
  <c r="I52" i="47" s="1"/>
  <c r="AR6" i="41"/>
  <c r="G26" i="47" s="1"/>
  <c r="G70" i="47" s="1"/>
  <c r="AR5" i="72"/>
  <c r="I15" i="47" s="1"/>
  <c r="AR14" i="85"/>
  <c r="T16" i="47" s="1"/>
  <c r="AR17" i="45"/>
  <c r="N29" i="47" s="1"/>
  <c r="N73" i="47" s="1"/>
  <c r="AR17" i="37"/>
  <c r="F29" i="47" s="1"/>
  <c r="F73" i="47" s="1"/>
  <c r="AS17" i="85"/>
  <c r="T29" i="47" s="1"/>
  <c r="T73" i="47" s="1"/>
  <c r="AQ6" i="72"/>
  <c r="I6" i="47" s="1"/>
  <c r="I70" i="47" s="1"/>
  <c r="AR13" i="46"/>
  <c r="R25" i="47" s="1"/>
  <c r="AF20" i="47"/>
  <c r="AF64" i="47" s="1"/>
  <c r="AC10" i="47"/>
  <c r="AC54" i="47" s="1"/>
  <c r="AC29" i="47"/>
  <c r="AC73" i="47" s="1"/>
  <c r="O17" i="47"/>
  <c r="O37" i="47" s="1"/>
  <c r="O81" i="47" s="1"/>
  <c r="AQ5" i="45"/>
  <c r="M15" i="47" s="1"/>
  <c r="AQ15" i="78"/>
  <c r="AF7" i="47" s="1"/>
  <c r="AF51" i="47" s="1"/>
  <c r="AR15" i="46"/>
  <c r="R27" i="47" s="1"/>
  <c r="R71" i="47" s="1"/>
  <c r="AQ5" i="85"/>
  <c r="S5" i="47" s="1"/>
  <c r="AR13" i="85"/>
  <c r="T15" i="47" s="1"/>
  <c r="AQ8" i="37"/>
  <c r="E18" i="47" s="1"/>
  <c r="AQ8" i="85"/>
  <c r="S8" i="47" s="1"/>
  <c r="S52" i="47" s="1"/>
  <c r="AP15" i="45"/>
  <c r="N7" i="47" s="1"/>
  <c r="N51" i="47" s="1"/>
  <c r="AR14" i="37"/>
  <c r="F26" i="47" s="1"/>
  <c r="AR5" i="44"/>
  <c r="O25" i="47" s="1"/>
  <c r="AQ13" i="78"/>
  <c r="AF5" i="47" s="1"/>
  <c r="AR8" i="72"/>
  <c r="I18" i="47" s="1"/>
  <c r="I38" i="47" s="1"/>
  <c r="AR14" i="45"/>
  <c r="N26" i="47" s="1"/>
  <c r="N70" i="47" s="1"/>
  <c r="AP17" i="46"/>
  <c r="R9" i="47" s="1"/>
  <c r="R53" i="47" s="1"/>
  <c r="AR17" i="46"/>
  <c r="R29" i="47" s="1"/>
  <c r="R73" i="47" s="1"/>
  <c r="AP15" i="44"/>
  <c r="P7" i="47" s="1"/>
  <c r="P51" i="47" s="1"/>
  <c r="AR14" i="78"/>
  <c r="AT14" i="78" s="1"/>
  <c r="AU14" i="78" s="1"/>
  <c r="AP14" i="41"/>
  <c r="H6" i="47" s="1"/>
  <c r="H50" i="47" s="1"/>
  <c r="AQ15" i="37"/>
  <c r="AP8" i="37"/>
  <c r="E8" i="47" s="1"/>
  <c r="E52" i="47" s="1"/>
  <c r="AT10" i="85"/>
  <c r="F54" i="47"/>
  <c r="AS10" i="41"/>
  <c r="I74" i="47"/>
  <c r="AR5" i="37"/>
  <c r="E25" i="47" s="1"/>
  <c r="AR17" i="58"/>
  <c r="L19" i="47" s="1"/>
  <c r="AP13" i="37"/>
  <c r="F5" i="47" s="1"/>
  <c r="AQ8" i="46"/>
  <c r="Q18" i="47" s="1"/>
  <c r="AQ13" i="37"/>
  <c r="F15" i="47" s="1"/>
  <c r="AR13" i="45"/>
  <c r="N25" i="47" s="1"/>
  <c r="AS14" i="58"/>
  <c r="L26" i="47" s="1"/>
  <c r="L70" i="47" s="1"/>
  <c r="AP5" i="37"/>
  <c r="E5" i="47" s="1"/>
  <c r="AR13" i="37"/>
  <c r="F25" i="47" s="1"/>
  <c r="AR6" i="72"/>
  <c r="AP8" i="46"/>
  <c r="Q8" i="47" s="1"/>
  <c r="Q52" i="47" s="1"/>
  <c r="AQ6" i="78"/>
  <c r="AE6" i="47" s="1"/>
  <c r="AE50" i="47" s="1"/>
  <c r="AP6" i="41"/>
  <c r="G6" i="47" s="1"/>
  <c r="G50" i="47" s="1"/>
  <c r="AR8" i="46"/>
  <c r="Q28" i="47" s="1"/>
  <c r="Q72" i="47" s="1"/>
  <c r="AQ5" i="37"/>
  <c r="E15" i="47" s="1"/>
  <c r="AQ13" i="46"/>
  <c r="R15" i="47" s="1"/>
  <c r="AQ17" i="45"/>
  <c r="AR6" i="85"/>
  <c r="S16" i="47" s="1"/>
  <c r="AP5" i="44"/>
  <c r="O5" i="47" s="1"/>
  <c r="AQ6" i="37"/>
  <c r="E16" i="47" s="1"/>
  <c r="AQ17" i="44"/>
  <c r="P19" i="47" s="1"/>
  <c r="AQ14" i="41"/>
  <c r="H16" i="47" s="1"/>
  <c r="AR14" i="44"/>
  <c r="P26" i="47" s="1"/>
  <c r="P70" i="47" s="1"/>
  <c r="AP17" i="44"/>
  <c r="P9" i="47" s="1"/>
  <c r="P53" i="47" s="1"/>
  <c r="AQ5" i="41"/>
  <c r="G15" i="47" s="1"/>
  <c r="AR6" i="45"/>
  <c r="M26" i="47" s="1"/>
  <c r="M70" i="47" s="1"/>
  <c r="AP14" i="45"/>
  <c r="N6" i="47" s="1"/>
  <c r="N50" i="47" s="1"/>
  <c r="AS13" i="58"/>
  <c r="L25" i="47" s="1"/>
  <c r="AQ14" i="58"/>
  <c r="L6" i="47" s="1"/>
  <c r="L50" i="47" s="1"/>
  <c r="AR14" i="58"/>
  <c r="L16" i="47" s="1"/>
  <c r="AQ6" i="85"/>
  <c r="S6" i="47" s="1"/>
  <c r="S50" i="47" s="1"/>
  <c r="AS9" i="41"/>
  <c r="AT9" i="85"/>
  <c r="AS10" i="45"/>
  <c r="AT10" i="58"/>
  <c r="E53" i="47"/>
  <c r="AS5" i="72"/>
  <c r="AQ14" i="37"/>
  <c r="F16" i="47" s="1"/>
  <c r="AQ17" i="41"/>
  <c r="H19" i="47" s="1"/>
  <c r="AS8" i="85"/>
  <c r="S28" i="47" s="1"/>
  <c r="S72" i="47" s="1"/>
  <c r="AQ14" i="85"/>
  <c r="T6" i="47" s="1"/>
  <c r="T50" i="47" s="1"/>
  <c r="AR8" i="37"/>
  <c r="E28" i="47" s="1"/>
  <c r="E72" i="47" s="1"/>
  <c r="AQ15" i="72"/>
  <c r="J7" i="47" s="1"/>
  <c r="J51" i="47" s="1"/>
  <c r="AP13" i="41"/>
  <c r="H5" i="47" s="1"/>
  <c r="AP5" i="41"/>
  <c r="G5" i="47" s="1"/>
  <c r="AR17" i="85"/>
  <c r="T19" i="47" s="1"/>
  <c r="AP17" i="41"/>
  <c r="H9" i="47" s="1"/>
  <c r="H53" i="47" s="1"/>
  <c r="AQ5" i="44"/>
  <c r="O15" i="47" s="1"/>
  <c r="AR15" i="85"/>
  <c r="T17" i="47" s="1"/>
  <c r="AR8" i="58"/>
  <c r="K18" i="47" s="1"/>
  <c r="AP15" i="41"/>
  <c r="H7" i="47" s="1"/>
  <c r="H51" i="47" s="1"/>
  <c r="AS14" i="85"/>
  <c r="T26" i="47" s="1"/>
  <c r="T70" i="47" s="1"/>
  <c r="AP5" i="45"/>
  <c r="M5" i="47" s="1"/>
  <c r="M11" i="47" s="1"/>
  <c r="AR8" i="78"/>
  <c r="AE18" i="47" s="1"/>
  <c r="AR13" i="78"/>
  <c r="AF15" i="47" s="1"/>
  <c r="AP13" i="46"/>
  <c r="R5" i="47" s="1"/>
  <c r="AP8" i="41"/>
  <c r="G8" i="47" s="1"/>
  <c r="G52" i="47" s="1"/>
  <c r="AQ15" i="44"/>
  <c r="AP15" i="46"/>
  <c r="R7" i="47" s="1"/>
  <c r="R51" i="47" s="1"/>
  <c r="AR6" i="46"/>
  <c r="Q26" i="47" s="1"/>
  <c r="Q70" i="47" s="1"/>
  <c r="AQ6" i="44"/>
  <c r="O16" i="47" s="1"/>
  <c r="AQ15" i="46"/>
  <c r="R17" i="47" s="1"/>
  <c r="AR14" i="41"/>
  <c r="H26" i="47" s="1"/>
  <c r="H70" i="47" s="1"/>
  <c r="AS17" i="58"/>
  <c r="L29" i="47" s="1"/>
  <c r="L73" i="47" s="1"/>
  <c r="AP6" i="37"/>
  <c r="E6" i="47" s="1"/>
  <c r="AS13" i="85"/>
  <c r="T25" i="47" s="1"/>
  <c r="AQ15" i="45"/>
  <c r="AS6" i="72"/>
  <c r="I26" i="47" s="1"/>
  <c r="AS6" i="58"/>
  <c r="K26" i="47" s="1"/>
  <c r="K70" i="47" s="1"/>
  <c r="AQ13" i="72"/>
  <c r="J5" i="47" s="1"/>
  <c r="AR5" i="85"/>
  <c r="AQ14" i="46"/>
  <c r="R16" i="47" s="1"/>
  <c r="AR13" i="58"/>
  <c r="AR6" i="78"/>
  <c r="AR5" i="45"/>
  <c r="M25" i="47" s="1"/>
  <c r="AQ13" i="41"/>
  <c r="H15" i="47" s="1"/>
  <c r="H21" i="47" s="1"/>
  <c r="AP17" i="37"/>
  <c r="F9" i="47" s="1"/>
  <c r="F53" i="47" s="1"/>
  <c r="AP8" i="44"/>
  <c r="O8" i="47" s="1"/>
  <c r="O52" i="47" s="1"/>
  <c r="AQ13" i="45"/>
  <c r="N15" i="47" s="1"/>
  <c r="AP14" i="44"/>
  <c r="P6" i="47" s="1"/>
  <c r="P50" i="47" s="1"/>
  <c r="AQ17" i="46"/>
  <c r="AP15" i="37"/>
  <c r="F7" i="47" s="1"/>
  <c r="Q39" i="47"/>
  <c r="Q83" i="47" s="1"/>
  <c r="Q63" i="47"/>
  <c r="Q40" i="47"/>
  <c r="Q84" i="47" s="1"/>
  <c r="Q64" i="47"/>
  <c r="H38" i="47"/>
  <c r="H82" i="47" s="1"/>
  <c r="H62" i="47"/>
  <c r="K39" i="47"/>
  <c r="K83" i="47" s="1"/>
  <c r="K63" i="47"/>
  <c r="S40" i="47"/>
  <c r="S84" i="47" s="1"/>
  <c r="S64" i="47"/>
  <c r="G39" i="47"/>
  <c r="G83" i="47" s="1"/>
  <c r="G63" i="47"/>
  <c r="AE39" i="47"/>
  <c r="AE83" i="47" s="1"/>
  <c r="AE63" i="47"/>
  <c r="S39" i="47"/>
  <c r="S83" i="47" s="1"/>
  <c r="S63" i="47"/>
  <c r="M40" i="47"/>
  <c r="M84" i="47" s="1"/>
  <c r="M64" i="47"/>
  <c r="G40" i="47"/>
  <c r="G84" i="47" s="1"/>
  <c r="G64" i="47"/>
  <c r="AE40" i="47"/>
  <c r="AE84" i="47" s="1"/>
  <c r="AE64" i="47"/>
  <c r="AS13" i="78"/>
  <c r="AF23" i="47" s="1"/>
  <c r="M39" i="47"/>
  <c r="M83" i="47" s="1"/>
  <c r="M63" i="47"/>
  <c r="O40" i="47"/>
  <c r="O84" i="47" s="1"/>
  <c r="O64" i="47"/>
  <c r="K40" i="47"/>
  <c r="K84" i="47" s="1"/>
  <c r="K64" i="47"/>
  <c r="O31" i="47" l="1"/>
  <c r="O21" i="47"/>
  <c r="M31" i="47"/>
  <c r="F31" i="47"/>
  <c r="R49" i="47"/>
  <c r="R55" i="47" s="1"/>
  <c r="R11" i="47"/>
  <c r="H49" i="47"/>
  <c r="H11" i="47"/>
  <c r="L69" i="47"/>
  <c r="L75" i="47" s="1"/>
  <c r="L31" i="47"/>
  <c r="E11" i="47"/>
  <c r="S11" i="47"/>
  <c r="R69" i="47"/>
  <c r="R75" i="47" s="1"/>
  <c r="R31" i="47"/>
  <c r="H69" i="47"/>
  <c r="H31" i="47"/>
  <c r="K21" i="47"/>
  <c r="K49" i="47"/>
  <c r="K55" i="47" s="1"/>
  <c r="K11" i="47"/>
  <c r="AE49" i="47"/>
  <c r="AE55" i="47" s="1"/>
  <c r="AE11" i="47"/>
  <c r="O11" i="47"/>
  <c r="E21" i="47"/>
  <c r="F49" i="47"/>
  <c r="F11" i="47"/>
  <c r="AF49" i="47"/>
  <c r="AF55" i="47" s="1"/>
  <c r="AF11" i="47"/>
  <c r="T11" i="47"/>
  <c r="N49" i="47"/>
  <c r="N55" i="47" s="1"/>
  <c r="N11" i="47"/>
  <c r="I11" i="47"/>
  <c r="P69" i="47"/>
  <c r="P75" i="47" s="1"/>
  <c r="P31" i="47"/>
  <c r="J49" i="47"/>
  <c r="J11" i="47"/>
  <c r="T69" i="47"/>
  <c r="T75" i="47" s="1"/>
  <c r="T31" i="47"/>
  <c r="N69" i="47"/>
  <c r="N75" i="47" s="1"/>
  <c r="N31" i="47"/>
  <c r="Q21" i="47"/>
  <c r="Q11" i="47"/>
  <c r="S31" i="47"/>
  <c r="P49" i="47"/>
  <c r="P11" i="47"/>
  <c r="I37" i="47"/>
  <c r="I81" i="47" s="1"/>
  <c r="K31" i="47"/>
  <c r="G11" i="47"/>
  <c r="E31" i="47"/>
  <c r="T21" i="47"/>
  <c r="L11" i="47"/>
  <c r="J69" i="47"/>
  <c r="J75" i="47" s="1"/>
  <c r="J31" i="47"/>
  <c r="G31" i="47"/>
  <c r="Q31" i="47"/>
  <c r="AT6" i="78"/>
  <c r="AU6" i="78" s="1"/>
  <c r="AS7" i="41"/>
  <c r="AT16" i="85"/>
  <c r="K37" i="47"/>
  <c r="K81" i="47" s="1"/>
  <c r="AT7" i="58"/>
  <c r="AF38" i="47"/>
  <c r="AF82" i="47" s="1"/>
  <c r="J38" i="47"/>
  <c r="J82" i="47" s="1"/>
  <c r="AT16" i="78"/>
  <c r="AU16" i="78" s="1"/>
  <c r="AT5" i="58"/>
  <c r="AT16" i="72"/>
  <c r="G61" i="47"/>
  <c r="T38" i="47"/>
  <c r="T82" i="47" s="1"/>
  <c r="AS19" i="78"/>
  <c r="AF29" i="47" s="1"/>
  <c r="AF73" i="47" s="1"/>
  <c r="R38" i="47"/>
  <c r="R82" i="47" s="1"/>
  <c r="AT5" i="78"/>
  <c r="AU5" i="78" s="1"/>
  <c r="AC7" i="47"/>
  <c r="AC51" i="47" s="1"/>
  <c r="N38" i="47"/>
  <c r="N82" i="47" s="1"/>
  <c r="AS16" i="45"/>
  <c r="AE15" i="47"/>
  <c r="Q37" i="47"/>
  <c r="Q81" i="47" s="1"/>
  <c r="AS7" i="46"/>
  <c r="AD28" i="47"/>
  <c r="AD72" i="47" s="1"/>
  <c r="L38" i="47"/>
  <c r="L82" i="47" s="1"/>
  <c r="E37" i="47"/>
  <c r="E81" i="47" s="1"/>
  <c r="AT18" i="85"/>
  <c r="F38" i="47"/>
  <c r="F82" i="47" s="1"/>
  <c r="P38" i="47"/>
  <c r="P82" i="47" s="1"/>
  <c r="AT16" i="58"/>
  <c r="AS16" i="44"/>
  <c r="AS16" i="37"/>
  <c r="T40" i="47"/>
  <c r="T84" i="47" s="1"/>
  <c r="AS16" i="46"/>
  <c r="R62" i="47"/>
  <c r="AT7" i="72"/>
  <c r="AS7" i="37"/>
  <c r="M37" i="47"/>
  <c r="M81" i="47" s="1"/>
  <c r="M61" i="47"/>
  <c r="AT7" i="85"/>
  <c r="AD10" i="47"/>
  <c r="AD54" i="47" s="1"/>
  <c r="E71" i="47"/>
  <c r="P40" i="47"/>
  <c r="P84" i="47" s="1"/>
  <c r="AT18" i="72"/>
  <c r="AD8" i="47"/>
  <c r="AD52" i="47" s="1"/>
  <c r="AS18" i="45"/>
  <c r="AS18" i="46"/>
  <c r="L40" i="47"/>
  <c r="L84" i="47" s="1"/>
  <c r="L64" i="47"/>
  <c r="S17" i="47"/>
  <c r="S37" i="47" s="1"/>
  <c r="S81" i="47" s="1"/>
  <c r="AS7" i="45"/>
  <c r="AC27" i="47"/>
  <c r="AC71" i="47" s="1"/>
  <c r="N40" i="47"/>
  <c r="N84" i="47" s="1"/>
  <c r="AT18" i="58"/>
  <c r="H40" i="47"/>
  <c r="H84" i="47" s="1"/>
  <c r="E39" i="47"/>
  <c r="E83" i="47" s="1"/>
  <c r="R40" i="47"/>
  <c r="R84" i="47" s="1"/>
  <c r="F40" i="47"/>
  <c r="AD30" i="47"/>
  <c r="AD74" i="47" s="1"/>
  <c r="AS18" i="41"/>
  <c r="AE61" i="47"/>
  <c r="AS18" i="44"/>
  <c r="J40" i="47"/>
  <c r="J84" i="47" s="1"/>
  <c r="AS18" i="37"/>
  <c r="AD20" i="47"/>
  <c r="AD64" i="47" s="1"/>
  <c r="AS15" i="37"/>
  <c r="AT17" i="72"/>
  <c r="E64" i="47"/>
  <c r="AS8" i="45"/>
  <c r="AD18" i="47"/>
  <c r="AD62" i="47" s="1"/>
  <c r="AC20" i="47"/>
  <c r="AC64" i="47" s="1"/>
  <c r="F62" i="47"/>
  <c r="J19" i="47"/>
  <c r="J63" i="47" s="1"/>
  <c r="AT17" i="78"/>
  <c r="AU17" i="78" s="1"/>
  <c r="AS6" i="41"/>
  <c r="AR19" i="41"/>
  <c r="AR20" i="41" s="1"/>
  <c r="G32" i="47" s="1"/>
  <c r="G76" i="47" s="1"/>
  <c r="O39" i="47"/>
  <c r="O83" i="47" s="1"/>
  <c r="G16" i="47"/>
  <c r="G36" i="47" s="1"/>
  <c r="G80" i="47" s="1"/>
  <c r="M18" i="47"/>
  <c r="M38" i="47" s="1"/>
  <c r="M82" i="47" s="1"/>
  <c r="I61" i="47"/>
  <c r="AT13" i="72"/>
  <c r="AS15" i="45"/>
  <c r="AS13" i="41"/>
  <c r="AT6" i="72"/>
  <c r="AT5" i="72"/>
  <c r="AS17" i="44"/>
  <c r="AT5" i="85"/>
  <c r="AS17" i="41"/>
  <c r="F17" i="47"/>
  <c r="F61" i="47" s="1"/>
  <c r="I64" i="47"/>
  <c r="AS6" i="46"/>
  <c r="I72" i="47"/>
  <c r="AS15" i="44"/>
  <c r="AQ19" i="58"/>
  <c r="AQ20" i="58" s="1"/>
  <c r="K12" i="47" s="1"/>
  <c r="K56" i="47" s="1"/>
  <c r="AC19" i="47"/>
  <c r="AC63" i="47" s="1"/>
  <c r="AT8" i="78"/>
  <c r="AU8" i="78" s="1"/>
  <c r="I16" i="47"/>
  <c r="I50" i="47"/>
  <c r="AT15" i="58"/>
  <c r="AD25" i="47"/>
  <c r="AS5" i="46"/>
  <c r="I84" i="47"/>
  <c r="T49" i="47"/>
  <c r="T55" i="47" s="1"/>
  <c r="AC26" i="47"/>
  <c r="AC70" i="47" s="1"/>
  <c r="AS8" i="37"/>
  <c r="H75" i="47"/>
  <c r="AQ19" i="44"/>
  <c r="AQ20" i="44" s="1"/>
  <c r="O22" i="47" s="1"/>
  <c r="O66" i="47" s="1"/>
  <c r="AT14" i="85"/>
  <c r="AS14" i="45"/>
  <c r="AS6" i="44"/>
  <c r="AT8" i="85"/>
  <c r="AT6" i="58"/>
  <c r="AT8" i="58"/>
  <c r="AT15" i="78"/>
  <c r="AU15" i="78" s="1"/>
  <c r="AS8" i="44"/>
  <c r="AS19" i="85"/>
  <c r="AS20" i="85" s="1"/>
  <c r="S32" i="47" s="1"/>
  <c r="S76" i="47" s="1"/>
  <c r="AT15" i="72"/>
  <c r="AS13" i="46"/>
  <c r="AR19" i="44"/>
  <c r="AR20" i="44" s="1"/>
  <c r="O32" i="47" s="1"/>
  <c r="O76" i="47" s="1"/>
  <c r="AS14" i="41"/>
  <c r="AR19" i="45"/>
  <c r="AR20" i="45" s="1"/>
  <c r="M32" i="47" s="1"/>
  <c r="M76" i="47" s="1"/>
  <c r="P17" i="47"/>
  <c r="P37" i="47" s="1"/>
  <c r="P81" i="47" s="1"/>
  <c r="AT15" i="85"/>
  <c r="AT6" i="85"/>
  <c r="N17" i="47"/>
  <c r="N37" i="47" s="1"/>
  <c r="N81" i="47" s="1"/>
  <c r="P55" i="47"/>
  <c r="AS15" i="41"/>
  <c r="AS8" i="46"/>
  <c r="AS6" i="37"/>
  <c r="J55" i="47"/>
  <c r="AT14" i="72"/>
  <c r="AS5" i="44"/>
  <c r="AS6" i="45"/>
  <c r="AQ19" i="85"/>
  <c r="AQ20" i="85" s="1"/>
  <c r="S12" i="47" s="1"/>
  <c r="S56" i="47" s="1"/>
  <c r="AD27" i="47"/>
  <c r="AD71" i="47" s="1"/>
  <c r="AS14" i="44"/>
  <c r="AR19" i="72"/>
  <c r="AR20" i="72" s="1"/>
  <c r="I22" i="47" s="1"/>
  <c r="I66" i="47" s="1"/>
  <c r="AR19" i="85"/>
  <c r="AR20" i="85" s="1"/>
  <c r="S22" i="47" s="1"/>
  <c r="S66" i="47" s="1"/>
  <c r="AS8" i="41"/>
  <c r="AC8" i="47"/>
  <c r="AC52" i="47" s="1"/>
  <c r="E70" i="47"/>
  <c r="AP19" i="45"/>
  <c r="AP20" i="45" s="1"/>
  <c r="M12" i="47" s="1"/>
  <c r="M56" i="47" s="1"/>
  <c r="AS13" i="44"/>
  <c r="S15" i="47"/>
  <c r="AR19" i="46"/>
  <c r="AR20" i="46" s="1"/>
  <c r="Q32" i="47" s="1"/>
  <c r="Q76" i="47" s="1"/>
  <c r="L49" i="47"/>
  <c r="L55" i="47" s="1"/>
  <c r="AS13" i="45"/>
  <c r="AR19" i="78"/>
  <c r="AR20" i="78" s="1"/>
  <c r="AI14" i="49" s="1"/>
  <c r="AS14" i="37"/>
  <c r="AS17" i="45"/>
  <c r="O61" i="47"/>
  <c r="AS17" i="46"/>
  <c r="AR19" i="58"/>
  <c r="AR20" i="58" s="1"/>
  <c r="K22" i="47" s="1"/>
  <c r="K66" i="47" s="1"/>
  <c r="AC6" i="47"/>
  <c r="AC50" i="47" s="1"/>
  <c r="H55" i="47"/>
  <c r="AD26" i="47"/>
  <c r="AD70" i="47" s="1"/>
  <c r="AC28" i="47"/>
  <c r="AC72" i="47" s="1"/>
  <c r="AP19" i="37"/>
  <c r="AP20" i="37" s="1"/>
  <c r="E56" i="47" s="1"/>
  <c r="F70" i="47"/>
  <c r="AQ19" i="72"/>
  <c r="AQ20" i="72" s="1"/>
  <c r="I12" i="47" s="1"/>
  <c r="I56" i="47" s="1"/>
  <c r="AD7" i="47"/>
  <c r="AD51" i="47" s="1"/>
  <c r="AQ19" i="46"/>
  <c r="AQ20" i="46" s="1"/>
  <c r="Q22" i="47" s="1"/>
  <c r="Q66" i="47" s="1"/>
  <c r="AT17" i="85"/>
  <c r="N19" i="47"/>
  <c r="N39" i="47" s="1"/>
  <c r="N83" i="47" s="1"/>
  <c r="I25" i="47"/>
  <c r="E50" i="47"/>
  <c r="AF16" i="47"/>
  <c r="AF36" i="47" s="1"/>
  <c r="AF80" i="47" s="1"/>
  <c r="AS5" i="45"/>
  <c r="AT13" i="58"/>
  <c r="AE16" i="47"/>
  <c r="AE36" i="47" s="1"/>
  <c r="AE80" i="47" s="1"/>
  <c r="F51" i="47"/>
  <c r="AS19" i="72"/>
  <c r="AS20" i="72" s="1"/>
  <c r="I32" i="47" s="1"/>
  <c r="I76" i="47" s="1"/>
  <c r="AQ19" i="78"/>
  <c r="AQ20" i="78" s="1"/>
  <c r="AD29" i="47"/>
  <c r="AD73" i="47" s="1"/>
  <c r="AS19" i="58"/>
  <c r="AS20" i="58" s="1"/>
  <c r="K32" i="47" s="1"/>
  <c r="K76" i="47" s="1"/>
  <c r="AT8" i="72"/>
  <c r="L15" i="47"/>
  <c r="AP19" i="41"/>
  <c r="AP20" i="41" s="1"/>
  <c r="G12" i="47" s="1"/>
  <c r="G56" i="47" s="1"/>
  <c r="AD5" i="47"/>
  <c r="AS5" i="41"/>
  <c r="R19" i="47"/>
  <c r="R21" i="47" s="1"/>
  <c r="AS5" i="37"/>
  <c r="AS15" i="46"/>
  <c r="AS14" i="46"/>
  <c r="AT17" i="58"/>
  <c r="AR19" i="37"/>
  <c r="AR20" i="37" s="1"/>
  <c r="E32" i="47" s="1"/>
  <c r="E76" i="47" s="1"/>
  <c r="AQ19" i="41"/>
  <c r="AQ20" i="41" s="1"/>
  <c r="G22" i="47" s="1"/>
  <c r="G66" i="47" s="1"/>
  <c r="AP19" i="44"/>
  <c r="AP20" i="44" s="1"/>
  <c r="O12" i="47" s="1"/>
  <c r="J97" i="47" s="1"/>
  <c r="AQ19" i="37"/>
  <c r="AQ20" i="37" s="1"/>
  <c r="E22" i="47" s="1"/>
  <c r="E66" i="47" s="1"/>
  <c r="AT13" i="85"/>
  <c r="F69" i="47"/>
  <c r="AP19" i="46"/>
  <c r="AP20" i="46" s="1"/>
  <c r="Q12" i="47" s="1"/>
  <c r="J96" i="47" s="1"/>
  <c r="AQ19" i="45"/>
  <c r="AQ20" i="45" s="1"/>
  <c r="M22" i="47" s="1"/>
  <c r="M66" i="47" s="1"/>
  <c r="AS17" i="37"/>
  <c r="AT14" i="58"/>
  <c r="AS13" i="37"/>
  <c r="AD6" i="47"/>
  <c r="AD50" i="47" s="1"/>
  <c r="AD9" i="47"/>
  <c r="AD53" i="47" s="1"/>
  <c r="T37" i="47"/>
  <c r="T81" i="47" s="1"/>
  <c r="T61" i="47"/>
  <c r="O49" i="47"/>
  <c r="O55" i="47" s="1"/>
  <c r="Q69" i="47"/>
  <c r="Q75" i="47" s="1"/>
  <c r="G38" i="47"/>
  <c r="G82" i="47" s="1"/>
  <c r="G62" i="47"/>
  <c r="T35" i="47"/>
  <c r="T59" i="47"/>
  <c r="L37" i="47"/>
  <c r="L81" i="47" s="1"/>
  <c r="L61" i="47"/>
  <c r="N36" i="47"/>
  <c r="N80" i="47" s="1"/>
  <c r="N60" i="47"/>
  <c r="Q49" i="47"/>
  <c r="Q55" i="47" s="1"/>
  <c r="H36" i="47"/>
  <c r="H80" i="47" s="1"/>
  <c r="H60" i="47"/>
  <c r="S36" i="47"/>
  <c r="S80" i="47" s="1"/>
  <c r="S60" i="47"/>
  <c r="S49" i="47"/>
  <c r="S55" i="47" s="1"/>
  <c r="Q38" i="47"/>
  <c r="Q82" i="47" s="1"/>
  <c r="Q62" i="47"/>
  <c r="R35" i="47"/>
  <c r="R59" i="47"/>
  <c r="AC5" i="47"/>
  <c r="E49" i="47"/>
  <c r="K36" i="47"/>
  <c r="K80" i="47" s="1"/>
  <c r="K60" i="47"/>
  <c r="S38" i="47"/>
  <c r="S82" i="47" s="1"/>
  <c r="S62" i="47"/>
  <c r="Q36" i="47"/>
  <c r="Q80" i="47" s="1"/>
  <c r="Q60" i="47"/>
  <c r="M49" i="47"/>
  <c r="M55" i="47" s="1"/>
  <c r="AF37" i="47"/>
  <c r="AF81" i="47" s="1"/>
  <c r="AF61" i="47"/>
  <c r="P39" i="47"/>
  <c r="P83" i="47" s="1"/>
  <c r="P63" i="47"/>
  <c r="O38" i="47"/>
  <c r="O82" i="47" s="1"/>
  <c r="O62" i="47"/>
  <c r="M69" i="47"/>
  <c r="M75" i="47" s="1"/>
  <c r="I69" i="47"/>
  <c r="I49" i="47"/>
  <c r="E69" i="47"/>
  <c r="E35" i="47"/>
  <c r="E59" i="47"/>
  <c r="I59" i="47"/>
  <c r="H39" i="47"/>
  <c r="H83" i="47" s="1"/>
  <c r="H63" i="47"/>
  <c r="H37" i="47"/>
  <c r="H81" i="47" s="1"/>
  <c r="H61" i="47"/>
  <c r="J36" i="47"/>
  <c r="J80" i="47" s="1"/>
  <c r="J60" i="47"/>
  <c r="T39" i="47"/>
  <c r="T83" i="47" s="1"/>
  <c r="T63" i="47"/>
  <c r="M35" i="47"/>
  <c r="M59" i="47"/>
  <c r="T36" i="47"/>
  <c r="T80" i="47" s="1"/>
  <c r="T60" i="47"/>
  <c r="AS20" i="78"/>
  <c r="AF30" i="47" s="1"/>
  <c r="AF35" i="47"/>
  <c r="AF79" i="47" s="1"/>
  <c r="AF59" i="47"/>
  <c r="L36" i="47"/>
  <c r="L80" i="47" s="1"/>
  <c r="L60" i="47"/>
  <c r="F35" i="47"/>
  <c r="F59" i="47"/>
  <c r="AF33" i="47"/>
  <c r="AF67" i="47"/>
  <c r="AE38" i="47"/>
  <c r="AE82" i="47" s="1"/>
  <c r="AE62" i="47"/>
  <c r="O36" i="47"/>
  <c r="O80" i="47" s="1"/>
  <c r="O60" i="47"/>
  <c r="M36" i="47"/>
  <c r="M80" i="47" s="1"/>
  <c r="M60" i="47"/>
  <c r="N35" i="47"/>
  <c r="N59" i="47"/>
  <c r="O35" i="47"/>
  <c r="O59" i="47"/>
  <c r="Q35" i="47"/>
  <c r="Q59" i="47"/>
  <c r="E84" i="47"/>
  <c r="G69" i="47"/>
  <c r="G75" i="47" s="1"/>
  <c r="K35" i="47"/>
  <c r="K59" i="47"/>
  <c r="K38" i="47"/>
  <c r="K82" i="47" s="1"/>
  <c r="K62" i="47"/>
  <c r="H35" i="47"/>
  <c r="H59" i="47"/>
  <c r="E36" i="47"/>
  <c r="E60" i="47"/>
  <c r="L39" i="47"/>
  <c r="L83" i="47" s="1"/>
  <c r="L63" i="47"/>
  <c r="K69" i="47"/>
  <c r="K75" i="47" s="1"/>
  <c r="P36" i="47"/>
  <c r="P80" i="47" s="1"/>
  <c r="P60" i="47"/>
  <c r="I82" i="47"/>
  <c r="I62" i="47"/>
  <c r="E38" i="47"/>
  <c r="E62" i="47"/>
  <c r="J37" i="47"/>
  <c r="J81" i="47" s="1"/>
  <c r="J61" i="47"/>
  <c r="G35" i="47"/>
  <c r="G59" i="47"/>
  <c r="F36" i="47"/>
  <c r="AD16" i="47"/>
  <c r="AD60" i="47" s="1"/>
  <c r="F60" i="47"/>
  <c r="J35" i="47"/>
  <c r="J59" i="47"/>
  <c r="P35" i="47"/>
  <c r="P59" i="47"/>
  <c r="S69" i="47"/>
  <c r="S75" i="47" s="1"/>
  <c r="O69" i="47"/>
  <c r="O75" i="47" s="1"/>
  <c r="AE69" i="47"/>
  <c r="AE75" i="47" s="1"/>
  <c r="AF63" i="47"/>
  <c r="F39" i="47"/>
  <c r="F63" i="47"/>
  <c r="AT13" i="78"/>
  <c r="AU13" i="78" s="1"/>
  <c r="G49" i="47"/>
  <c r="G55" i="47" s="1"/>
  <c r="R37" i="47"/>
  <c r="R81" i="47" s="1"/>
  <c r="R61" i="47"/>
  <c r="R36" i="47"/>
  <c r="R80" i="47" s="1"/>
  <c r="R60" i="47"/>
  <c r="F55" i="47" l="1"/>
  <c r="K100" i="47" s="1"/>
  <c r="P41" i="47"/>
  <c r="H41" i="47"/>
  <c r="Q41" i="47"/>
  <c r="N41" i="47"/>
  <c r="G41" i="47"/>
  <c r="O41" i="47"/>
  <c r="AC11" i="47"/>
  <c r="E41" i="47"/>
  <c r="T41" i="47"/>
  <c r="AD49" i="47"/>
  <c r="AD55" i="47" s="1"/>
  <c r="AD11" i="47"/>
  <c r="AC15" i="47"/>
  <c r="AC59" i="47" s="1"/>
  <c r="S21" i="47"/>
  <c r="P21" i="47"/>
  <c r="M41" i="47"/>
  <c r="AF31" i="47"/>
  <c r="J21" i="47"/>
  <c r="K41" i="47"/>
  <c r="L35" i="47"/>
  <c r="L41" i="47" s="1"/>
  <c r="L21" i="47"/>
  <c r="AC25" i="47"/>
  <c r="AC31" i="47" s="1"/>
  <c r="I31" i="47"/>
  <c r="AC16" i="47"/>
  <c r="AC60" i="47" s="1"/>
  <c r="I36" i="47"/>
  <c r="I80" i="47" s="1"/>
  <c r="F21" i="47"/>
  <c r="I21" i="47"/>
  <c r="AF21" i="47"/>
  <c r="AD69" i="47"/>
  <c r="AD75" i="47" s="1"/>
  <c r="AD31" i="47"/>
  <c r="AE59" i="47"/>
  <c r="AE21" i="47"/>
  <c r="M21" i="47"/>
  <c r="G21" i="47"/>
  <c r="I35" i="47"/>
  <c r="N21" i="47"/>
  <c r="AE35" i="47"/>
  <c r="AD38" i="47"/>
  <c r="AD82" i="47" s="1"/>
  <c r="D49" i="101"/>
  <c r="E49" i="101" s="1"/>
  <c r="F49" i="101" s="1"/>
  <c r="AC37" i="47"/>
  <c r="AC81" i="47" s="1"/>
  <c r="K97" i="47"/>
  <c r="AH11" i="47"/>
  <c r="AH55" i="47"/>
  <c r="S61" i="47"/>
  <c r="AC17" i="47"/>
  <c r="AC61" i="47" s="1"/>
  <c r="AD40" i="47"/>
  <c r="AD84" i="47" s="1"/>
  <c r="J39" i="47"/>
  <c r="J83" i="47" s="1"/>
  <c r="F84" i="47"/>
  <c r="AC39" i="47"/>
  <c r="AC83" i="47" s="1"/>
  <c r="AF39" i="47"/>
  <c r="AF83" i="47" s="1"/>
  <c r="S35" i="47"/>
  <c r="S59" i="47"/>
  <c r="AC40" i="47"/>
  <c r="AC84" i="47" s="1"/>
  <c r="I60" i="47"/>
  <c r="I65" i="47" s="1"/>
  <c r="J98" i="47"/>
  <c r="M62" i="47"/>
  <c r="M65" i="47" s="1"/>
  <c r="AC18" i="47"/>
  <c r="AC62" i="47" s="1"/>
  <c r="G60" i="47"/>
  <c r="G65" i="47" s="1"/>
  <c r="AT19" i="72"/>
  <c r="AT20" i="72" s="1"/>
  <c r="AG14" i="49" s="1"/>
  <c r="AH14" i="52" s="1"/>
  <c r="R63" i="47"/>
  <c r="R65" i="47" s="1"/>
  <c r="N61" i="47"/>
  <c r="R39" i="47"/>
  <c r="R83" i="47" s="1"/>
  <c r="F37" i="47"/>
  <c r="O56" i="47"/>
  <c r="I75" i="47"/>
  <c r="J100" i="47"/>
  <c r="K106" i="47"/>
  <c r="AS19" i="45"/>
  <c r="AS20" i="45" s="1"/>
  <c r="AA14" i="49" s="1"/>
  <c r="AB14" i="52" s="1"/>
  <c r="AS19" i="44"/>
  <c r="AS20" i="44" s="1"/>
  <c r="O42" i="47" s="1"/>
  <c r="P61" i="47"/>
  <c r="P65" i="47" s="1"/>
  <c r="I55" i="47"/>
  <c r="K93" i="47" s="1"/>
  <c r="E75" i="47"/>
  <c r="AS19" i="41"/>
  <c r="AS20" i="41" s="1"/>
  <c r="G42" i="47" s="1"/>
  <c r="F75" i="47"/>
  <c r="AD17" i="47"/>
  <c r="AD61" i="47" s="1"/>
  <c r="AT19" i="85"/>
  <c r="AT20" i="85" s="1"/>
  <c r="S42" i="47" s="1"/>
  <c r="S86" i="47" s="1"/>
  <c r="AS19" i="46"/>
  <c r="AS20" i="46" s="1"/>
  <c r="AE14" i="49" s="1"/>
  <c r="AF14" i="52" s="1"/>
  <c r="K99" i="47"/>
  <c r="K98" i="47"/>
  <c r="Q65" i="47"/>
  <c r="D5" i="101"/>
  <c r="E5" i="101" s="1"/>
  <c r="F5" i="101" s="1"/>
  <c r="AT19" i="58"/>
  <c r="AT20" i="58" s="1"/>
  <c r="Y14" i="49" s="1"/>
  <c r="Z14" i="52" s="1"/>
  <c r="AS19" i="37"/>
  <c r="AS20" i="37" s="1"/>
  <c r="U14" i="49" s="1"/>
  <c r="V14" i="52" s="1"/>
  <c r="AD19" i="47"/>
  <c r="AD63" i="47" s="1"/>
  <c r="AE12" i="47"/>
  <c r="J106" i="47" s="1"/>
  <c r="J93" i="47"/>
  <c r="K96" i="47"/>
  <c r="Q56" i="47"/>
  <c r="AD15" i="47"/>
  <c r="AE60" i="47"/>
  <c r="AE65" i="47" s="1"/>
  <c r="N63" i="47"/>
  <c r="J99" i="47"/>
  <c r="AF60" i="47"/>
  <c r="AF65" i="47" s="1"/>
  <c r="L59" i="47"/>
  <c r="L65" i="47" s="1"/>
  <c r="E55" i="47"/>
  <c r="J79" i="47"/>
  <c r="AC38" i="47"/>
  <c r="AC82" i="47" s="1"/>
  <c r="E82" i="47"/>
  <c r="AF77" i="47"/>
  <c r="E65" i="47"/>
  <c r="H65" i="47"/>
  <c r="R79" i="47"/>
  <c r="AF74" i="47"/>
  <c r="AF75" i="47" s="1"/>
  <c r="AF40" i="47"/>
  <c r="AF84" i="47" s="1"/>
  <c r="Q79" i="47"/>
  <c r="Q85" i="47" s="1"/>
  <c r="AD36" i="47"/>
  <c r="AD80" i="47" s="1"/>
  <c r="F80" i="47"/>
  <c r="P79" i="47"/>
  <c r="P85" i="47" s="1"/>
  <c r="O79" i="47"/>
  <c r="O85" i="47" s="1"/>
  <c r="T65" i="47"/>
  <c r="F79" i="47"/>
  <c r="M79" i="47"/>
  <c r="M85" i="47" s="1"/>
  <c r="AC49" i="47"/>
  <c r="AC55" i="47" s="1"/>
  <c r="E80" i="47"/>
  <c r="I79" i="47"/>
  <c r="O65" i="47"/>
  <c r="K65" i="47"/>
  <c r="F83" i="47"/>
  <c r="J65" i="47"/>
  <c r="H79" i="47"/>
  <c r="H85" i="47" s="1"/>
  <c r="F65" i="47"/>
  <c r="E79" i="47"/>
  <c r="AT19" i="78"/>
  <c r="AT20" i="78" s="1"/>
  <c r="N79" i="47"/>
  <c r="N85" i="47" s="1"/>
  <c r="G79" i="47"/>
  <c r="G85" i="47" s="1"/>
  <c r="K79" i="47"/>
  <c r="K85" i="47" s="1"/>
  <c r="T79" i="47"/>
  <c r="T85" i="47" s="1"/>
  <c r="AD35" i="47" l="1"/>
  <c r="L79" i="47"/>
  <c r="L85" i="47" s="1"/>
  <c r="AC69" i="47"/>
  <c r="AC75" i="47" s="1"/>
  <c r="AD21" i="47"/>
  <c r="I41" i="47"/>
  <c r="J41" i="47"/>
  <c r="AC35" i="47"/>
  <c r="AC79" i="47" s="1"/>
  <c r="S41" i="47"/>
  <c r="R41" i="47"/>
  <c r="AF41" i="47"/>
  <c r="AE42" i="47" s="1"/>
  <c r="AC21" i="47"/>
  <c r="AE79" i="47"/>
  <c r="AE85" i="47" s="1"/>
  <c r="AE41" i="47"/>
  <c r="F41" i="47"/>
  <c r="F43" i="47" s="1"/>
  <c r="D48" i="101"/>
  <c r="E48" i="101" s="1"/>
  <c r="F48" i="101" s="1"/>
  <c r="S65" i="47"/>
  <c r="J85" i="47"/>
  <c r="S79" i="47"/>
  <c r="S85" i="47" s="1"/>
  <c r="N65" i="47"/>
  <c r="I42" i="47"/>
  <c r="I86" i="47" s="1"/>
  <c r="AE22" i="47"/>
  <c r="AE66" i="47" s="1"/>
  <c r="AD39" i="47"/>
  <c r="AD83" i="47" s="1"/>
  <c r="W14" i="49"/>
  <c r="X14" i="52" s="1"/>
  <c r="I85" i="47"/>
  <c r="F81" i="47"/>
  <c r="F85" i="47" s="1"/>
  <c r="M100" i="47" s="1"/>
  <c r="Q43" i="47"/>
  <c r="AD37" i="47"/>
  <c r="AD81" i="47" s="1"/>
  <c r="AE56" i="47"/>
  <c r="R85" i="47"/>
  <c r="M96" i="47" s="1"/>
  <c r="AC36" i="47"/>
  <c r="AC80" i="47" s="1"/>
  <c r="AC65" i="47"/>
  <c r="M42" i="47"/>
  <c r="M86" i="47" s="1"/>
  <c r="AC14" i="49"/>
  <c r="AD14" i="52" s="1"/>
  <c r="K42" i="47"/>
  <c r="K86" i="47" s="1"/>
  <c r="Q42" i="47"/>
  <c r="Q86" i="47" s="1"/>
  <c r="AG75" i="47"/>
  <c r="AG55" i="47"/>
  <c r="K109" i="47"/>
  <c r="K111" i="47" s="1"/>
  <c r="M99" i="47"/>
  <c r="E42" i="47"/>
  <c r="L100" i="47" s="1"/>
  <c r="AD59" i="47"/>
  <c r="AD65" i="47" s="1"/>
  <c r="G43" i="47"/>
  <c r="K105" i="47"/>
  <c r="M43" i="47"/>
  <c r="G5" i="101"/>
  <c r="O86" i="47"/>
  <c r="L97" i="47"/>
  <c r="AF85" i="47"/>
  <c r="M98" i="47"/>
  <c r="L99" i="47"/>
  <c r="G86" i="47"/>
  <c r="K43" i="47"/>
  <c r="E85" i="47"/>
  <c r="D4" i="101"/>
  <c r="E4" i="101" s="1"/>
  <c r="F4" i="101" s="1"/>
  <c r="AG11" i="47"/>
  <c r="AC12" i="47"/>
  <c r="AC56" i="47" s="1"/>
  <c r="AD79" i="47"/>
  <c r="M97" i="47"/>
  <c r="AC32" i="47"/>
  <c r="AC76" i="47" s="1"/>
  <c r="AG31" i="47"/>
  <c r="O43" i="47"/>
  <c r="M106" i="47" l="1"/>
  <c r="G49" i="101"/>
  <c r="AD41" i="47"/>
  <c r="AC41" i="47"/>
  <c r="G48" i="101"/>
  <c r="G4" i="101"/>
  <c r="AJ85" i="47"/>
  <c r="AJ41" i="47"/>
  <c r="M93" i="47"/>
  <c r="O101" i="47" s="1"/>
  <c r="L93" i="47"/>
  <c r="I43" i="47"/>
  <c r="AG65" i="47"/>
  <c r="AD85" i="47"/>
  <c r="L98" i="47"/>
  <c r="AC85" i="47"/>
  <c r="AG21" i="47"/>
  <c r="L96" i="47"/>
  <c r="AC22" i="47"/>
  <c r="AC66" i="47" s="1"/>
  <c r="E86" i="47"/>
  <c r="L106" i="47"/>
  <c r="AE86" i="47"/>
  <c r="M105" i="47" l="1"/>
  <c r="AG85" i="47"/>
  <c r="AI85" i="47" s="1"/>
  <c r="M109" i="47"/>
  <c r="M111" i="47" s="1"/>
  <c r="O111" i="47" s="1"/>
  <c r="Y17" i="49"/>
  <c r="AG41" i="47"/>
  <c r="AI41" i="47" s="1"/>
  <c r="AC42" i="47"/>
  <c r="AC86" i="47" s="1"/>
  <c r="O109" i="47" l="1"/>
  <c r="AA17" i="49"/>
</calcChain>
</file>

<file path=xl/comments1.xml><?xml version="1.0" encoding="utf-8"?>
<comments xmlns="http://schemas.openxmlformats.org/spreadsheetml/2006/main">
  <authors>
    <author>James Woodcock</author>
  </authors>
  <commentList>
    <comment ref="AI4" authorId="0" shapeId="0">
      <text>
        <r>
          <rPr>
            <b/>
            <sz val="8"/>
            <color indexed="81"/>
            <rFont val="Tahoma"/>
            <family val="2"/>
          </rPr>
          <t>James Woodcock:</t>
        </r>
        <r>
          <rPr>
            <sz val="8"/>
            <color indexed="81"/>
            <rFont val="Tahoma"/>
            <family val="2"/>
          </rPr>
          <t xml:space="preserve">
currently include air pollution - small impact but might confuse comparison- should probably do phy activity results alone (but also then for main analysis)</t>
        </r>
      </text>
    </comment>
    <comment ref="AI6" authorId="0" shapeId="0">
      <text>
        <r>
          <rPr>
            <b/>
            <sz val="8"/>
            <color indexed="81"/>
            <rFont val="Tahoma"/>
            <family val="2"/>
          </rPr>
          <t xml:space="preserve">Fixed power relation 0.25
</t>
        </r>
        <r>
          <rPr>
            <sz val="8"/>
            <color indexed="81"/>
            <rFont val="Tahoma"/>
            <family val="2"/>
          </rPr>
          <t xml:space="preserve">
</t>
        </r>
      </text>
    </comment>
  </commentList>
</comments>
</file>

<file path=xl/comments10.xml><?xml version="1.0" encoding="utf-8"?>
<comments xmlns="http://schemas.openxmlformats.org/spreadsheetml/2006/main">
  <authors>
    <author>James Woodcock</author>
    <author>Haobo Wang</author>
    <author>Maizlish, Neil  (CDPH-CCDPHP)</author>
  </authors>
  <commentList>
    <comment ref="B2" authorId="0" shapeId="0">
      <text>
        <r>
          <rPr>
            <b/>
            <sz val="8"/>
            <color indexed="81"/>
            <rFont val="Tahoma"/>
            <family val="2"/>
          </rPr>
          <t>James Woodcock:</t>
        </r>
        <r>
          <rPr>
            <sz val="8"/>
            <color indexed="81"/>
            <rFont val="Tahoma"/>
            <family val="2"/>
          </rPr>
          <t xml:space="preserve">
http://naei.defra.gov.uk/emissions/emissions_2009/summary_tables.php?action=unece&amp;page_name=PM1009.html</t>
        </r>
      </text>
    </comment>
    <comment ref="C3" authorId="1" shapeId="0">
      <text>
        <r>
          <rPr>
            <b/>
            <sz val="8"/>
            <color indexed="81"/>
            <rFont val="Tahoma"/>
            <family val="2"/>
          </rPr>
          <t>MoT: this NZ number was provide by Ian Longley @NIWA via an email on 7/11/2016.</t>
        </r>
        <r>
          <rPr>
            <sz val="8"/>
            <color indexed="81"/>
            <rFont val="Tahoma"/>
            <family val="2"/>
          </rPr>
          <t xml:space="preserve">
</t>
        </r>
      </text>
    </comment>
    <comment ref="D3" authorId="2" shapeId="0">
      <text>
        <r>
          <rPr>
            <b/>
            <sz val="8"/>
            <color indexed="81"/>
            <rFont val="Tahoma"/>
            <family val="2"/>
          </rPr>
          <t>Maizlish, Neil  (CDPH-CCDPHP):</t>
        </r>
        <r>
          <rPr>
            <sz val="8"/>
            <color indexed="81"/>
            <rFont val="Tahoma"/>
            <family val="2"/>
          </rPr>
          <t xml:space="preserve">
linear relationship based on car VMT and air shed PM2.5 in MPEM air shed model of BAAQMD</t>
        </r>
      </text>
    </comment>
    <comment ref="E3" authorId="2" shapeId="0">
      <text>
        <r>
          <rPr>
            <b/>
            <sz val="8"/>
            <color indexed="81"/>
            <rFont val="Tahoma"/>
            <family val="2"/>
          </rPr>
          <t>Maizlish, Neil  (CDPH-CCDPHP):</t>
        </r>
        <r>
          <rPr>
            <sz val="8"/>
            <color indexed="81"/>
            <rFont val="Tahoma"/>
            <family val="2"/>
          </rPr>
          <t xml:space="preserve">
linear relationship based on car VMT and air shed PM2.5 in MPEM air shed model of BAAQMD</t>
        </r>
      </text>
    </comment>
    <comment ref="F3" authorId="2" shapeId="0">
      <text>
        <r>
          <rPr>
            <b/>
            <sz val="8"/>
            <color indexed="81"/>
            <rFont val="Tahoma"/>
            <family val="2"/>
          </rPr>
          <t>Maizlish, Neil  (CDPH-CCDPHP):</t>
        </r>
        <r>
          <rPr>
            <sz val="8"/>
            <color indexed="81"/>
            <rFont val="Tahoma"/>
            <family val="2"/>
          </rPr>
          <t xml:space="preserve">
linear relationship based on car VMT and air shed PM2.5 in MPEM air shed model of BAAQMD</t>
        </r>
      </text>
    </comment>
    <comment ref="I3" authorId="2" shapeId="0">
      <text>
        <r>
          <rPr>
            <b/>
            <sz val="8"/>
            <color indexed="81"/>
            <rFont val="Tahoma"/>
            <family val="2"/>
          </rPr>
          <t>Maizlish, Neil  (CDPH-CCDPHP):</t>
        </r>
        <r>
          <rPr>
            <sz val="8"/>
            <color indexed="81"/>
            <rFont val="Tahoma"/>
            <family val="2"/>
          </rPr>
          <t xml:space="preserve">
linear relationship based on car VMT and air shed PM2.5 in MPEM air shed model of BAAQMD</t>
        </r>
      </text>
    </comment>
  </commentList>
</comments>
</file>

<file path=xl/comments11.xml><?xml version="1.0" encoding="utf-8"?>
<comments xmlns="http://schemas.openxmlformats.org/spreadsheetml/2006/main">
  <authors>
    <author>Angela Yang</author>
  </authors>
  <commentList>
    <comment ref="Q1" authorId="0" shapeId="0">
      <text>
        <r>
          <rPr>
            <b/>
            <sz val="9"/>
            <color indexed="81"/>
            <rFont val="Tahoma"/>
            <family val="2"/>
          </rPr>
          <t>Angela Yang:</t>
        </r>
        <r>
          <rPr>
            <sz val="9"/>
            <color indexed="81"/>
            <rFont val="Tahoma"/>
            <family val="2"/>
          </rPr>
          <t xml:space="preserve">
what is this?</t>
        </r>
      </text>
    </comment>
  </commentList>
</comments>
</file>

<file path=xl/comments2.xml><?xml version="1.0" encoding="utf-8"?>
<comments xmlns="http://schemas.openxmlformats.org/spreadsheetml/2006/main">
  <authors>
    <author>NJLinesch</author>
  </authors>
  <commentList>
    <comment ref="C56" authorId="0" shapeId="0">
      <text>
        <r>
          <rPr>
            <b/>
            <sz val="9"/>
            <color indexed="81"/>
            <rFont val="Arial"/>
            <family val="2"/>
          </rPr>
          <t xml:space="preserve">N Maizlish - based on a regression relationship with decreasing variability with increasing active modeshare. Intercept increased to coincide with observed baseline value
</t>
        </r>
      </text>
    </comment>
    <comment ref="E56" authorId="0" shapeId="0">
      <text>
        <r>
          <rPr>
            <b/>
            <sz val="9"/>
            <color indexed="81"/>
            <rFont val="Arial"/>
            <family val="2"/>
          </rPr>
          <t xml:space="preserve">N Maizlish - based on a regression relationship with decreasing variability with increasing active modeshare. Intercept increased to coincide with observed baseline value
</t>
        </r>
      </text>
    </comment>
    <comment ref="G56" authorId="0" shapeId="0">
      <text>
        <r>
          <rPr>
            <b/>
            <sz val="9"/>
            <color indexed="81"/>
            <rFont val="Arial"/>
            <family val="2"/>
          </rPr>
          <t xml:space="preserve">N Maizlish - based on a regression relationship with decreasing variability with increasing active modeshare. Intercept increased to coincide with observed baseline value
</t>
        </r>
      </text>
    </comment>
    <comment ref="I56" authorId="0" shapeId="0">
      <text>
        <r>
          <rPr>
            <b/>
            <sz val="9"/>
            <color indexed="81"/>
            <rFont val="Arial"/>
            <family val="2"/>
          </rPr>
          <t xml:space="preserve">N Maizlish - based on a regression relationship with decreasing variability with increasing active modeshare. Intercept increased to coincide with observed baseline value
</t>
        </r>
      </text>
    </comment>
    <comment ref="O56" authorId="0" shapeId="0">
      <text>
        <r>
          <rPr>
            <b/>
            <sz val="9"/>
            <color indexed="81"/>
            <rFont val="Arial"/>
            <family val="2"/>
          </rPr>
          <t xml:space="preserve">N Maizlish - based on a regression relationship with decreasing variability with increasing active modeshare. Intercept increased to coincide with observed baseline value
</t>
        </r>
      </text>
    </comment>
  </commentList>
</comments>
</file>

<file path=xl/comments3.xml><?xml version="1.0" encoding="utf-8"?>
<comments xmlns="http://schemas.openxmlformats.org/spreadsheetml/2006/main">
  <authors>
    <author>N Maizlish</author>
  </authors>
  <commentList>
    <comment ref="I2" authorId="0" shapeId="0">
      <text>
        <r>
          <rPr>
            <b/>
            <sz val="9"/>
            <color indexed="81"/>
            <rFont val="Tahoma"/>
            <family val="2"/>
          </rPr>
          <t>N Maizlish:</t>
        </r>
        <r>
          <rPr>
            <sz val="9"/>
            <color indexed="81"/>
            <rFont val="Tahoma"/>
            <family val="2"/>
          </rPr>
          <t xml:space="preserve">
User input: 1 for Daily, 7 for weekly, 365 for annual
</t>
        </r>
      </text>
    </comment>
  </commentList>
</comments>
</file>

<file path=xl/comments4.xml><?xml version="1.0" encoding="utf-8"?>
<comments xmlns="http://schemas.openxmlformats.org/spreadsheetml/2006/main">
  <authors>
    <author>JamesW</author>
  </authors>
  <commentList>
    <comment ref="R6" authorId="0" shapeId="0">
      <text>
        <r>
          <rPr>
            <b/>
            <sz val="9"/>
            <color indexed="81"/>
            <rFont val="Tahoma"/>
            <family val="2"/>
          </rPr>
          <t>JamesW:</t>
        </r>
        <r>
          <rPr>
            <sz val="9"/>
            <color indexed="81"/>
            <rFont val="Tahoma"/>
            <family val="2"/>
          </rPr>
          <t xml:space="preserve">
these will be fixed 
</t>
        </r>
      </text>
    </comment>
    <comment ref="X6" authorId="0" shapeId="0">
      <text>
        <r>
          <rPr>
            <b/>
            <sz val="9"/>
            <color indexed="81"/>
            <rFont val="Tahoma"/>
            <family val="2"/>
          </rPr>
          <t>JamesW:</t>
        </r>
        <r>
          <rPr>
            <sz val="9"/>
            <color indexed="81"/>
            <rFont val="Tahoma"/>
            <family val="2"/>
          </rPr>
          <t xml:space="preserve">
these will be fixed
</t>
        </r>
      </text>
    </comment>
  </commentList>
</comments>
</file>

<file path=xl/comments5.xml><?xml version="1.0" encoding="utf-8"?>
<comments xmlns="http://schemas.openxmlformats.org/spreadsheetml/2006/main">
  <authors>
    <author>JamesW</author>
    <author>N Maizlish</author>
  </authors>
  <commentList>
    <comment ref="R6" authorId="0" shapeId="0">
      <text>
        <r>
          <rPr>
            <b/>
            <sz val="9"/>
            <color indexed="81"/>
            <rFont val="Tahoma"/>
            <family val="2"/>
          </rPr>
          <t>JamesW:</t>
        </r>
        <r>
          <rPr>
            <sz val="9"/>
            <color indexed="81"/>
            <rFont val="Tahoma"/>
            <family val="2"/>
          </rPr>
          <t xml:space="preserve">
fixed as London values
</t>
        </r>
      </text>
    </comment>
    <comment ref="X6" authorId="0" shapeId="0">
      <text>
        <r>
          <rPr>
            <b/>
            <sz val="9"/>
            <color indexed="81"/>
            <rFont val="Tahoma"/>
            <family val="2"/>
          </rPr>
          <t>JamesW:</t>
        </r>
        <r>
          <rPr>
            <sz val="9"/>
            <color indexed="81"/>
            <rFont val="Tahoma"/>
            <family val="2"/>
          </rPr>
          <t xml:space="preserve">
fixed as NZ values
</t>
        </r>
      </text>
    </comment>
    <comment ref="C20" authorId="1" shapeId="0">
      <text>
        <r>
          <rPr>
            <b/>
            <sz val="9"/>
            <color indexed="81"/>
            <rFont val="Tahoma"/>
            <family val="2"/>
          </rPr>
          <t>N Maizlish:</t>
        </r>
        <r>
          <rPr>
            <sz val="9"/>
            <color indexed="81"/>
            <rFont val="Tahoma"/>
            <family val="2"/>
          </rPr>
          <t xml:space="preserve">
This is the effective CV which takes into account whether only air pollution benefits has been selected</t>
        </r>
      </text>
    </comment>
  </commentList>
</comments>
</file>

<file path=xl/comments6.xml><?xml version="1.0" encoding="utf-8"?>
<comments xmlns="http://schemas.openxmlformats.org/spreadsheetml/2006/main">
  <authors>
    <author>JamesW</author>
    <author>James Woodcock</author>
  </authors>
  <commentList>
    <comment ref="G2" authorId="0" shapeId="0">
      <text>
        <r>
          <rPr>
            <b/>
            <sz val="9"/>
            <color indexed="81"/>
            <rFont val="Tahoma"/>
            <family val="2"/>
          </rPr>
          <t xml:space="preserve">JamesW: does not include non travel METs in calculation
</t>
        </r>
      </text>
    </comment>
    <comment ref="M2" authorId="0" shapeId="0">
      <text>
        <r>
          <rPr>
            <b/>
            <sz val="9"/>
            <color indexed="81"/>
            <rFont val="Tahoma"/>
            <family val="2"/>
          </rPr>
          <t>JamesW:</t>
        </r>
        <r>
          <rPr>
            <sz val="9"/>
            <color indexed="81"/>
            <rFont val="Tahoma"/>
            <family val="2"/>
          </rPr>
          <t xml:space="preserve">
Does not include non travel METs in calculation
</t>
        </r>
      </text>
    </comment>
    <comment ref="O2" authorId="1" shapeId="0">
      <text>
        <r>
          <rPr>
            <b/>
            <sz val="8"/>
            <color indexed="81"/>
            <rFont val="Tahoma"/>
            <family val="2"/>
          </rPr>
          <t>James Woodcock:</t>
        </r>
        <r>
          <rPr>
            <sz val="8"/>
            <color indexed="81"/>
            <rFont val="Tahoma"/>
            <family val="2"/>
          </rPr>
          <t xml:space="preserve">
best fit 0.25
</t>
        </r>
      </text>
    </comment>
    <comment ref="U2" authorId="1" shapeId="0">
      <text>
        <r>
          <rPr>
            <b/>
            <sz val="8"/>
            <color indexed="81"/>
            <rFont val="Tahoma"/>
            <family val="2"/>
          </rPr>
          <t>James Woodcock:</t>
        </r>
        <r>
          <rPr>
            <sz val="8"/>
            <color indexed="81"/>
            <rFont val="Tahoma"/>
            <family val="2"/>
          </rPr>
          <t xml:space="preserve">
0.375 best fit
</t>
        </r>
      </text>
    </comment>
    <comment ref="Q5" authorId="1" shapeId="0">
      <text>
        <r>
          <rPr>
            <b/>
            <sz val="8"/>
            <color indexed="81"/>
            <rFont val="Tahoma"/>
            <family val="2"/>
          </rPr>
          <t>James Woodcock:</t>
        </r>
        <r>
          <rPr>
            <sz val="8"/>
            <color indexed="81"/>
            <rFont val="Tahoma"/>
            <family val="2"/>
          </rPr>
          <t xml:space="preserve">
cycling alone
</t>
        </r>
      </text>
    </comment>
  </commentList>
</comments>
</file>

<file path=xl/comments7.xml><?xml version="1.0" encoding="utf-8"?>
<comments xmlns="http://schemas.openxmlformats.org/spreadsheetml/2006/main">
  <authors>
    <author>Nicholas J. Linesch</author>
  </authors>
  <commentList>
    <comment ref="D3" authorId="0" shapeId="0">
      <text>
        <r>
          <rPr>
            <b/>
            <sz val="9"/>
            <color indexed="81"/>
            <rFont val="Tahoma"/>
            <family val="2"/>
          </rPr>
          <t>Nicholas J. Linesch:</t>
        </r>
        <r>
          <rPr>
            <sz val="9"/>
            <color indexed="81"/>
            <rFont val="Tahoma"/>
            <family val="2"/>
          </rPr>
          <t xml:space="preserve">
</t>
        </r>
      </text>
    </comment>
    <comment ref="E6" authorId="0" shapeId="0">
      <text>
        <r>
          <rPr>
            <b/>
            <sz val="9"/>
            <color indexed="81"/>
            <rFont val="Tahoma"/>
            <family val="2"/>
          </rPr>
          <t>Nicholas J. Linesch:</t>
        </r>
        <r>
          <rPr>
            <sz val="9"/>
            <color indexed="81"/>
            <rFont val="Tahoma"/>
            <family val="2"/>
          </rPr>
          <t xml:space="preserve">
slope of the dose response curve betweet inflameatory heart disease and the pm 2.5</t>
        </r>
      </text>
    </comment>
  </commentList>
</comments>
</file>

<file path=xl/comments8.xml><?xml version="1.0" encoding="utf-8"?>
<comments xmlns="http://schemas.openxmlformats.org/spreadsheetml/2006/main">
  <authors>
    <author>Nicholas J. Linesch</author>
  </authors>
  <commentList>
    <comment ref="E5" authorId="0" shapeId="0">
      <text>
        <r>
          <rPr>
            <b/>
            <sz val="9"/>
            <color indexed="81"/>
            <rFont val="Tahoma"/>
            <family val="2"/>
          </rPr>
          <t>Nicholas J. Linesch:</t>
        </r>
        <r>
          <rPr>
            <sz val="9"/>
            <color indexed="81"/>
            <rFont val="Tahoma"/>
            <family val="2"/>
          </rPr>
          <t xml:space="preserve">
Picking up ambient air levels from a different disease category… inflamatory heart disease one.  This is a shortcut.</t>
        </r>
      </text>
    </comment>
  </commentList>
</comments>
</file>

<file path=xl/comments9.xml><?xml version="1.0" encoding="utf-8"?>
<comments xmlns="http://schemas.openxmlformats.org/spreadsheetml/2006/main">
  <authors>
    <author>Maizlish, Neil  (CDPH-CCDPHP)</author>
  </authors>
  <commentList>
    <comment ref="Z1" authorId="0" shapeId="0">
      <text>
        <r>
          <rPr>
            <b/>
            <sz val="8"/>
            <color indexed="81"/>
            <rFont val="Tahoma"/>
            <family val="2"/>
          </rPr>
          <t>Maizlish, Neil  (CDPH-CCDPHP):</t>
        </r>
        <r>
          <rPr>
            <sz val="8"/>
            <color indexed="81"/>
            <rFont val="Tahoma"/>
            <family val="2"/>
          </rPr>
          <t xml:space="preserve">
1-burden
</t>
        </r>
      </text>
    </comment>
  </commentList>
</comments>
</file>

<file path=xl/sharedStrings.xml><?xml version="1.0" encoding="utf-8"?>
<sst xmlns="http://schemas.openxmlformats.org/spreadsheetml/2006/main" count="5527" uniqueCount="465">
  <si>
    <t>SD</t>
  </si>
  <si>
    <t>%</t>
  </si>
  <si>
    <t>0-4</t>
  </si>
  <si>
    <t>5-14</t>
  </si>
  <si>
    <t>15-29</t>
  </si>
  <si>
    <t>30-44</t>
  </si>
  <si>
    <t>45-59</t>
  </si>
  <si>
    <t>60-69</t>
  </si>
  <si>
    <t>70-79</t>
  </si>
  <si>
    <t>80+</t>
  </si>
  <si>
    <t>F</t>
  </si>
  <si>
    <t>Active travel</t>
  </si>
  <si>
    <t>Minutes per week</t>
  </si>
  <si>
    <r>
      <t>N</t>
    </r>
    <r>
      <rPr>
        <b/>
        <vertAlign val="subscript"/>
        <sz val="14"/>
        <rFont val="Candara"/>
        <family val="2"/>
      </rPr>
      <t>fit</t>
    </r>
  </si>
  <si>
    <t>METs</t>
  </si>
  <si>
    <t>Mean</t>
  </si>
  <si>
    <t>Age groups</t>
  </si>
  <si>
    <t>Walking</t>
  </si>
  <si>
    <t>Cycling</t>
  </si>
  <si>
    <t>Active travel /week</t>
  </si>
  <si>
    <t>Minutes</t>
  </si>
  <si>
    <t>Population median:</t>
  </si>
  <si>
    <t>Population mean:</t>
  </si>
  <si>
    <t>Population size:</t>
  </si>
  <si>
    <t>(millions female)</t>
  </si>
  <si>
    <t>m</t>
  </si>
  <si>
    <t>f</t>
  </si>
  <si>
    <t>Coefficient of variation:</t>
  </si>
  <si>
    <t>DALYs</t>
  </si>
  <si>
    <t>Depression</t>
  </si>
  <si>
    <t>CVD</t>
  </si>
  <si>
    <t>Dementia</t>
  </si>
  <si>
    <t>Diabetes</t>
  </si>
  <si>
    <t xml:space="preserve">Exposure </t>
  </si>
  <si>
    <t xml:space="preserve"> 80+</t>
  </si>
  <si>
    <t xml:space="preserve"> 70-79</t>
  </si>
  <si>
    <t xml:space="preserve"> 60-69</t>
  </si>
  <si>
    <t xml:space="preserve"> 45-59</t>
  </si>
  <si>
    <t xml:space="preserve"> 30-44</t>
  </si>
  <si>
    <t xml:space="preserve"> 15-29</t>
  </si>
  <si>
    <t xml:space="preserve"> 5-14</t>
  </si>
  <si>
    <t>∆ YLD</t>
  </si>
  <si>
    <t>∆YLL</t>
  </si>
  <si>
    <t>∆ Deaths</t>
  </si>
  <si>
    <t>RR 1 MET</t>
  </si>
  <si>
    <t>Age group</t>
  </si>
  <si>
    <t>Sex</t>
  </si>
  <si>
    <t>Vision</t>
  </si>
  <si>
    <t>∆ Burden</t>
  </si>
  <si>
    <t>YLD per group</t>
  </si>
  <si>
    <t>YLL per group</t>
  </si>
  <si>
    <t>Deaths per group</t>
  </si>
  <si>
    <t>Ratio of disease burden re gp 1</t>
  </si>
  <si>
    <t>RR compared with baseline</t>
  </si>
  <si>
    <t>RR compared with no exposure</t>
  </si>
  <si>
    <t xml:space="preserve">Total Exposure </t>
  </si>
  <si>
    <t xml:space="preserve"> Travel Exposure </t>
  </si>
  <si>
    <t>Baseline</t>
  </si>
  <si>
    <t>women</t>
  </si>
  <si>
    <t>men</t>
  </si>
  <si>
    <t>non travel mets</t>
  </si>
  <si>
    <t>Scenario</t>
  </si>
  <si>
    <t>daly</t>
  </si>
  <si>
    <t>yld</t>
  </si>
  <si>
    <t>yll</t>
  </si>
  <si>
    <t>pproj</t>
  </si>
  <si>
    <t>age</t>
  </si>
  <si>
    <t>sex</t>
  </si>
  <si>
    <t xml:space="preserve">Total </t>
  </si>
  <si>
    <t>Colon Cancer</t>
  </si>
  <si>
    <t>Total</t>
  </si>
  <si>
    <t>Breast Cancer</t>
  </si>
  <si>
    <t>total</t>
  </si>
  <si>
    <t>New Burden</t>
  </si>
  <si>
    <t>AF</t>
  </si>
  <si>
    <t>Baseline Coefficient of variation:</t>
  </si>
  <si>
    <t>YLL</t>
  </si>
  <si>
    <t>YLD</t>
  </si>
  <si>
    <t>Deaths</t>
  </si>
  <si>
    <t>1 MET</t>
  </si>
  <si>
    <t>&gt;29</t>
  </si>
  <si>
    <t>Colon cancer</t>
  </si>
  <si>
    <t>mean</t>
  </si>
  <si>
    <t>Standard deviation:</t>
  </si>
  <si>
    <t>cycling</t>
  </si>
  <si>
    <t>ln mean</t>
  </si>
  <si>
    <t>ln sd</t>
  </si>
  <si>
    <t>pop mean walking time</t>
  </si>
  <si>
    <t>pop mean cycling time</t>
  </si>
  <si>
    <t>RR walking</t>
  </si>
  <si>
    <t>RR cycling</t>
  </si>
  <si>
    <t>walk</t>
  </si>
  <si>
    <t>cycle</t>
  </si>
  <si>
    <t>bus</t>
  </si>
  <si>
    <t>car long</t>
  </si>
  <si>
    <t>elec/ bike scooter</t>
  </si>
  <si>
    <t>train</t>
  </si>
  <si>
    <t>Distance</t>
  </si>
  <si>
    <t xml:space="preserve">mean </t>
  </si>
  <si>
    <t xml:space="preserve">walking </t>
  </si>
  <si>
    <t>calculation</t>
  </si>
  <si>
    <t>proportion</t>
  </si>
  <si>
    <t>relative wk spd</t>
  </si>
  <si>
    <t>relative cyc spd</t>
  </si>
  <si>
    <t>calcualtion</t>
  </si>
  <si>
    <t>Time</t>
  </si>
  <si>
    <t>min</t>
  </si>
  <si>
    <t>Time (minutes per day)</t>
  </si>
  <si>
    <t>walking METs</t>
  </si>
  <si>
    <t>walking Minutes</t>
  </si>
  <si>
    <t>cycling minutes</t>
  </si>
  <si>
    <t>cycling METs</t>
  </si>
  <si>
    <t>total METs</t>
  </si>
  <si>
    <t>ln value</t>
  </si>
  <si>
    <t>male</t>
  </si>
  <si>
    <t>female</t>
  </si>
  <si>
    <t xml:space="preserve">sex </t>
  </si>
  <si>
    <t>Results</t>
  </si>
  <si>
    <t>Ratio of walking and cycling times to women aged 15-29</t>
  </si>
  <si>
    <t>Age</t>
  </si>
  <si>
    <t>total for everyone</t>
  </si>
  <si>
    <t>Stages/ week</t>
  </si>
  <si>
    <t>minibus</t>
  </si>
  <si>
    <t>train/tube</t>
  </si>
  <si>
    <t xml:space="preserve">car short </t>
  </si>
  <si>
    <t>Mean stage Distance (km)</t>
  </si>
  <si>
    <t>Time (minutes per week)</t>
  </si>
  <si>
    <t>Person travel time, speeds and distance</t>
  </si>
  <si>
    <t>mbike</t>
  </si>
  <si>
    <t>Coefficient of var</t>
  </si>
  <si>
    <t>RR</t>
  </si>
  <si>
    <t xml:space="preserve">exposure </t>
  </si>
  <si>
    <t>Air pollution RR</t>
  </si>
  <si>
    <t>Air pollution exposure</t>
  </si>
  <si>
    <t>Coefficient</t>
  </si>
  <si>
    <t>Change in YLL</t>
  </si>
  <si>
    <t>Change in YLD</t>
  </si>
  <si>
    <t xml:space="preserve">Change in Deaths </t>
  </si>
  <si>
    <t>Change in DALYs</t>
  </si>
  <si>
    <t>Lung Cancer</t>
  </si>
  <si>
    <t>Acute resp infections</t>
  </si>
  <si>
    <t>Inflammatory HD</t>
  </si>
  <si>
    <t xml:space="preserve">Respiratory diseases </t>
  </si>
  <si>
    <t>Acute Resp Infections</t>
  </si>
  <si>
    <t>Inflammatory Heart Disease</t>
  </si>
  <si>
    <t>Resp Diseases</t>
  </si>
  <si>
    <t>Stroke</t>
  </si>
  <si>
    <t>Ischemic Heart Disease</t>
  </si>
  <si>
    <t>IHD</t>
  </si>
  <si>
    <t>Hypertensive HD</t>
  </si>
  <si>
    <t>RTIs</t>
  </si>
  <si>
    <t>Total DALYs</t>
  </si>
  <si>
    <t>All diseases by age &amp; sex</t>
  </si>
  <si>
    <t>Reduction disease bruden</t>
  </si>
  <si>
    <t>All- cause mortality</t>
  </si>
  <si>
    <t>Physical Activity Risk Function (power 0.25=0, power 0.5= 1, power 0.375=2, log=3, linear=4)</t>
  </si>
  <si>
    <t>All-cause mortality cycling Anderson</t>
  </si>
  <si>
    <t xml:space="preserve">All-cause mortality Woodcock </t>
  </si>
  <si>
    <t>All-cause mortality Woodcock walking alone</t>
  </si>
  <si>
    <t>All-cause mortality walking: HEAT</t>
  </si>
  <si>
    <t>CVD cubic splines</t>
  </si>
  <si>
    <t>All-cause mortality Woodcock</t>
  </si>
  <si>
    <t>total diseases affected by model changes</t>
  </si>
  <si>
    <t>%  of total burden from these diseases</t>
  </si>
  <si>
    <t>all</t>
  </si>
  <si>
    <t>car driver</t>
  </si>
  <si>
    <t>car passenger</t>
  </si>
  <si>
    <t xml:space="preserve"> </t>
  </si>
  <si>
    <t>Cardiorespiratory</t>
  </si>
  <si>
    <t>ARI</t>
  </si>
  <si>
    <t>Coefficient for RR</t>
  </si>
  <si>
    <t>Condition</t>
  </si>
  <si>
    <t>Hypertensive Heart Disease</t>
  </si>
  <si>
    <t>Population</t>
  </si>
  <si>
    <t>doubles value based on PM10</t>
  </si>
  <si>
    <t>Designed and implemented by Dr James Woodcock, CEDAR http://www.cedar.iph.cam.ac.uk/</t>
  </si>
  <si>
    <t>This spreadsheet model estimates the health impacts of transport scenarios</t>
  </si>
  <si>
    <t xml:space="preserve">    Copyright © 2013 James Woodcock</t>
  </si>
  <si>
    <t xml:space="preserve">    The modelling tool is free software: you can redistribute it and/or modify</t>
  </si>
  <si>
    <t xml:space="preserve">    it under the terms of the GNU General Public License as published by</t>
  </si>
  <si>
    <t xml:space="preserve">    the Free Software Foundation, either version 3 of the License, or</t>
  </si>
  <si>
    <t xml:space="preserve">    (at your option) any later version.</t>
  </si>
  <si>
    <t xml:space="preserve">The modelling tool is implemented in Excel 2010 (Microsoft). No rights to Excel are implied in this licence. </t>
  </si>
  <si>
    <t xml:space="preserve">    This program is distributed in the hope that it will be useful,</t>
  </si>
  <si>
    <t xml:space="preserve">    but WITHOUT ANY WARRANTY; without even the implied warranty of</t>
  </si>
  <si>
    <t xml:space="preserve">    MERCHANTABILITY or FITNESS FOR A PARTICULAR PURPOSE.  See the</t>
  </si>
  <si>
    <t xml:space="preserve">    GNU General Public License for more details.</t>
  </si>
  <si>
    <t xml:space="preserve">    You should have received a copy of the GNU General Public License</t>
  </si>
  <si>
    <t xml:space="preserve">    along with this program.  If not, see &lt;http://www.gnu.org/licenses/&gt;.</t>
  </si>
  <si>
    <t xml:space="preserve">We would welcome feedback on the use of this model, including any errors or bugs detected. </t>
  </si>
  <si>
    <t>Citation for use of the model is: Woodcock J, Givoni M, Morgan AS. Health Impact Modelling of Active Travel Visions for England and Wales Using an Integrated Transport and Health Impact Modelling Tool (ITHIM). PLoS One. 2013;8(1):e51462.</t>
  </si>
  <si>
    <t>05-14</t>
  </si>
  <si>
    <t>bicycle</t>
  </si>
  <si>
    <t>rail</t>
  </si>
  <si>
    <t>other</t>
  </si>
  <si>
    <t>motorcycle</t>
  </si>
  <si>
    <t>00-04</t>
  </si>
  <si>
    <t>Total Population</t>
  </si>
  <si>
    <t>query_id</t>
  </si>
  <si>
    <t>scenario_id</t>
  </si>
  <si>
    <t>item_id</t>
  </si>
  <si>
    <t>item_name</t>
  </si>
  <si>
    <t>units</t>
  </si>
  <si>
    <t>urbrur</t>
  </si>
  <si>
    <t>report_year</t>
  </si>
  <si>
    <t>geotype</t>
  </si>
  <si>
    <t>geotype_name</t>
  </si>
  <si>
    <t>geotype_code</t>
  </si>
  <si>
    <t>mode</t>
  </si>
  <si>
    <t>mode_code</t>
  </si>
  <si>
    <t>strata_type</t>
  </si>
  <si>
    <t>strata</t>
  </si>
  <si>
    <t>strata_code</t>
  </si>
  <si>
    <t>age_group</t>
  </si>
  <si>
    <t>unwt_n</t>
  </si>
  <si>
    <t>wt_n</t>
  </si>
  <si>
    <t>item_result</t>
  </si>
  <si>
    <t>se</t>
  </si>
  <si>
    <t>cv</t>
  </si>
  <si>
    <t>Per capita mean daily travel time</t>
  </si>
  <si>
    <t>2009</t>
  </si>
  <si>
    <t>All Ages</t>
  </si>
  <si>
    <t>All</t>
  </si>
  <si>
    <t>Distribution of population by age and gender</t>
  </si>
  <si>
    <t>percent</t>
  </si>
  <si>
    <t>Per capita weekly non-travel related physical activity</t>
  </si>
  <si>
    <t>MET-hours/week</t>
  </si>
  <si>
    <t>Physical activity</t>
  </si>
  <si>
    <t>decile</t>
  </si>
  <si>
    <t>0</t>
  </si>
  <si>
    <t>1</t>
  </si>
  <si>
    <t>2</t>
  </si>
  <si>
    <t>3</t>
  </si>
  <si>
    <t>4</t>
  </si>
  <si>
    <t>Auto (Driver)</t>
  </si>
  <si>
    <t>Auto (Passenger)</t>
  </si>
  <si>
    <t>Standard deviation of mean daily active travel time</t>
  </si>
  <si>
    <t>Date</t>
  </si>
  <si>
    <t>year</t>
  </si>
  <si>
    <t>Ambitious</t>
  </si>
  <si>
    <t>User Defined</t>
  </si>
  <si>
    <t>5</t>
  </si>
  <si>
    <t>Bus</t>
  </si>
  <si>
    <t>Constant to achieve Coefficient of variation</t>
  </si>
  <si>
    <t>Minutes/person/day</t>
  </si>
  <si>
    <t>Percent reductions in YLLs not YLDs</t>
  </si>
  <si>
    <t>Scenario Coefficient of Variation</t>
  </si>
  <si>
    <r>
      <t xml:space="preserve">PM 2.5, </t>
    </r>
    <r>
      <rPr>
        <sz val="10"/>
        <rFont val="Symbol"/>
        <family val="1"/>
        <charset val="2"/>
      </rPr>
      <t>m</t>
    </r>
    <r>
      <rPr>
        <sz val="10"/>
        <rFont val="Arial"/>
        <family val="2"/>
      </rPr>
      <t>g/m</t>
    </r>
    <r>
      <rPr>
        <vertAlign val="superscript"/>
        <sz val="10"/>
        <rFont val="Arial"/>
        <family val="2"/>
      </rPr>
      <t>3</t>
    </r>
  </si>
  <si>
    <t>bike</t>
  </si>
  <si>
    <t>Walk</t>
  </si>
  <si>
    <t>Bike</t>
  </si>
  <si>
    <t>auto (driver)</t>
  </si>
  <si>
    <t>auto (passenger)</t>
  </si>
  <si>
    <t>Motorcycle Share</t>
  </si>
  <si>
    <t>Truck Share</t>
  </si>
  <si>
    <t>Per Capita Mean Daily Travel Time</t>
  </si>
  <si>
    <t>minutes</t>
  </si>
  <si>
    <t>Per Capita Mean Daily Travel Distance</t>
  </si>
  <si>
    <t>scenid_itemid_mode_strata_age_sex</t>
  </si>
  <si>
    <t>Population Forecasts (ABM)</t>
  </si>
  <si>
    <t>people</t>
  </si>
  <si>
    <t>ln(mean)</t>
  </si>
  <si>
    <t>CV</t>
  </si>
  <si>
    <t>Calculations</t>
  </si>
  <si>
    <t>ln(sd)</t>
  </si>
  <si>
    <t>ln(median)</t>
  </si>
  <si>
    <t>backcasted Median</t>
  </si>
  <si>
    <t>Daily</t>
  </si>
  <si>
    <t>Weekly</t>
  </si>
  <si>
    <t>Active Transport</t>
  </si>
  <si>
    <t>Transit</t>
  </si>
  <si>
    <t>DALYS</t>
  </si>
  <si>
    <t>Total PHT</t>
  </si>
  <si>
    <t>hours</t>
  </si>
  <si>
    <t>deaths</t>
  </si>
  <si>
    <t>dprNj</t>
  </si>
  <si>
    <t>* neil3971@comcast.net for inquiries on the California version</t>
  </si>
  <si>
    <t xml:space="preserve">For the California version please also reference: Maizlish NA, Woodcock JD, Co S, Ostro B, Fairley D, Fanai A. Health cobenefits and transportation-related reductions in greenhouse gas emissions in the San Francisco Bay Area. Am J Public Health 2013; 103:703-709. </t>
  </si>
  <si>
    <t>min/person/d</t>
  </si>
  <si>
    <t>Bay Area</t>
  </si>
  <si>
    <t>05</t>
  </si>
  <si>
    <t>All Races</t>
  </si>
  <si>
    <t>M</t>
  </si>
  <si>
    <t>Source</t>
  </si>
  <si>
    <t>User Defined Scenario ID:</t>
  </si>
  <si>
    <t>500 Scenarios Max.</t>
  </si>
  <si>
    <t>AT Mean Min/Wk)</t>
  </si>
  <si>
    <t>Race</t>
  </si>
  <si>
    <t>NA</t>
  </si>
  <si>
    <t>Rail</t>
  </si>
  <si>
    <t>Motorcycle</t>
  </si>
  <si>
    <t>Per capita mean daily travel time by mode</t>
  </si>
  <si>
    <t>Per capita mean daily travel distance</t>
  </si>
  <si>
    <t>Calibration Source data (0 = Travel Survey, 1 = Travel Demand Model)</t>
  </si>
  <si>
    <t>Car_driver</t>
  </si>
  <si>
    <t>Car_passenger</t>
  </si>
  <si>
    <t>Total Transit Min/day</t>
  </si>
  <si>
    <t>Walk-Transit min/d</t>
  </si>
  <si>
    <t>Bike- Transit min/d</t>
  </si>
  <si>
    <t>Transit AT Mean Min/Day</t>
  </si>
  <si>
    <t>Total AT Min/day</t>
  </si>
  <si>
    <t>Non-TransitAT Mean Min/Day</t>
  </si>
  <si>
    <t>Ratio of Walk Minutes per Minute of Transit Trip</t>
  </si>
  <si>
    <t>Ratio of Bicycle Minutes per Minute of Transit Trip</t>
  </si>
  <si>
    <r>
      <rPr>
        <sz val="16"/>
        <color theme="5"/>
        <rFont val="Calibri"/>
        <family val="2"/>
      </rPr>
      <t>←</t>
    </r>
    <r>
      <rPr>
        <sz val="16"/>
        <color theme="5"/>
        <rFont val="Calibri"/>
        <family val="2"/>
        <scheme val="minor"/>
      </rPr>
      <t>User Input: Daily Per Capita Minutes of Active Transport Not Related to Transit Trips</t>
    </r>
  </si>
  <si>
    <r>
      <rPr>
        <sz val="16"/>
        <color theme="5"/>
        <rFont val="Calibri"/>
        <family val="2"/>
      </rPr>
      <t>←</t>
    </r>
    <r>
      <rPr>
        <sz val="16"/>
        <color theme="5"/>
        <rFont val="Calibri"/>
        <family val="2"/>
        <scheme val="minor"/>
      </rPr>
      <t>User input: Daily Per Capita Minutes of Riding Bus or Rail, Excluding Active Transport from-to Transit Stops/Stations</t>
    </r>
  </si>
  <si>
    <t>Bike Share minutes</t>
  </si>
  <si>
    <t>Passenger</t>
  </si>
  <si>
    <t>Car</t>
  </si>
  <si>
    <t>Car-Driver</t>
  </si>
  <si>
    <t>`</t>
  </si>
  <si>
    <t>Time Unit [Day, 1 (default); Week, 7; Year, 365]:</t>
  </si>
  <si>
    <t>Travel Summary Gallery</t>
  </si>
  <si>
    <t>Detailed Graphs by Mode</t>
  </si>
  <si>
    <t>Less Detailed Graphs</t>
  </si>
  <si>
    <r>
      <t>Mean PM</t>
    </r>
    <r>
      <rPr>
        <vertAlign val="subscript"/>
        <sz val="10"/>
        <rFont val="Candara"/>
        <family val="2"/>
      </rPr>
      <t>2.5</t>
    </r>
    <r>
      <rPr>
        <sz val="10"/>
        <rFont val="Candara"/>
        <family val="2"/>
      </rPr>
      <t xml:space="preserve"> (</t>
    </r>
    <r>
      <rPr>
        <sz val="10"/>
        <rFont val="Calibri"/>
        <family val="2"/>
      </rPr>
      <t>μg</t>
    </r>
    <r>
      <rPr>
        <sz val="10"/>
        <rFont val="Candara"/>
        <family val="2"/>
      </rPr>
      <t>/m</t>
    </r>
    <r>
      <rPr>
        <vertAlign val="superscript"/>
        <sz val="10"/>
        <rFont val="Candara"/>
        <family val="2"/>
      </rPr>
      <t>3</t>
    </r>
    <r>
      <rPr>
        <sz val="10"/>
        <rFont val="Candara"/>
        <family val="2"/>
      </rPr>
      <t>)</t>
    </r>
  </si>
  <si>
    <t>Disease Category</t>
  </si>
  <si>
    <t>Cardiovascular disease</t>
  </si>
  <si>
    <t>Respiratory Diseases</t>
  </si>
  <si>
    <t>PA</t>
  </si>
  <si>
    <t>Acute Resp. Infections</t>
  </si>
  <si>
    <r>
      <t>PM</t>
    </r>
    <r>
      <rPr>
        <vertAlign val="subscript"/>
        <sz val="12"/>
        <rFont val="Candara"/>
        <family val="2"/>
      </rPr>
      <t>2.5</t>
    </r>
  </si>
  <si>
    <t>Sum of Above</t>
  </si>
  <si>
    <t>PAF</t>
  </si>
  <si>
    <t>N</t>
  </si>
  <si>
    <t>PM Alone</t>
  </si>
  <si>
    <t xml:space="preserve">Cut-Paste </t>
  </si>
  <si>
    <t>PA(adj)</t>
  </si>
  <si>
    <t>PA (adj)</t>
  </si>
  <si>
    <t>PM</t>
  </si>
  <si>
    <t>Adjustment to Prevent Double Counting due to Cardiovascular Disease</t>
  </si>
  <si>
    <t>Note:  Change after a different scenario is selected</t>
  </si>
  <si>
    <t>DALYs/100,000</t>
  </si>
  <si>
    <t>Physcial Activity</t>
  </si>
  <si>
    <t>Air-pollution</t>
  </si>
  <si>
    <t>Step</t>
  </si>
  <si>
    <t>Procedure for avoid double counting of CV</t>
  </si>
  <si>
    <t>Select Scenario</t>
  </si>
  <si>
    <t>Run Source with Air polution alone (0)</t>
  </si>
  <si>
    <t>Run Source as both (1)</t>
  </si>
  <si>
    <t xml:space="preserve">0-PM Alone </t>
  </si>
  <si>
    <t>2-PA Alone</t>
  </si>
  <si>
    <t>1-Both</t>
  </si>
  <si>
    <t>Scenario ID</t>
  </si>
  <si>
    <t>Absolute Numbers</t>
  </si>
  <si>
    <t>Population, N</t>
  </si>
  <si>
    <t>Scaled to a Population</t>
  </si>
  <si>
    <t>back transformed Median</t>
  </si>
  <si>
    <t>Transit In-Vehicle Transit min/d</t>
  </si>
  <si>
    <t>All Cause Mortality, excl RTI</t>
  </si>
  <si>
    <t>&lt;--- Total AT + transit, including in-vehicle transit time</t>
  </si>
  <si>
    <t>Note: Select the Correct Cardiovascular Disease Choice in Select Data</t>
  </si>
  <si>
    <t>megaregion_name</t>
  </si>
  <si>
    <t>AT:Transit Travel Time Ratio</t>
  </si>
  <si>
    <t>&lt;--- Total TA and in-vehicle transit time (24.79 min/day is baseline  2.79 transit time + 22 min of total PA Bike, walk, transit)</t>
  </si>
  <si>
    <r>
      <rPr>
        <sz val="16"/>
        <color theme="5"/>
        <rFont val="Calibri"/>
        <family val="2"/>
      </rPr>
      <t>←</t>
    </r>
    <r>
      <rPr>
        <sz val="16"/>
        <color theme="5"/>
        <rFont val="Calibri"/>
        <family val="2"/>
        <scheme val="minor"/>
      </rPr>
      <t>User input: Proportion of Active Tranport Trip Minutes by Bicycle Mode</t>
    </r>
  </si>
  <si>
    <t>Acknowledgements: Phil Edwards, LSHTM, Neil Maizlish (retired), California Public Health Department, Zaid Chalabi, LSHTM &amp; Ian Roberts, LSHTM</t>
  </si>
  <si>
    <t>ITHIM: Integrated Transport &amp; Health Impact Modelling</t>
  </si>
  <si>
    <t>Take results in J94:M94 cut and paste values (not formulas) into Q92:T92</t>
  </si>
  <si>
    <t>Source of Benefit/Harm (0 = PM2.5 alone,   1= PM2.5+PA,   2= PA Alone)</t>
  </si>
  <si>
    <t>NZ</t>
  </si>
  <si>
    <t>NZHTS201314</t>
  </si>
  <si>
    <t>NZCensus2013</t>
  </si>
  <si>
    <t>km/person/d</t>
  </si>
  <si>
    <t>StatsNZ pop projections mid</t>
  </si>
  <si>
    <t>Baseline 2013</t>
  </si>
  <si>
    <t>MoT Travel model</t>
  </si>
  <si>
    <t>StatsNZ pop porjections mid</t>
  </si>
  <si>
    <t>km</t>
  </si>
  <si>
    <t>Total PKT</t>
  </si>
  <si>
    <t>Distance (km per week)</t>
  </si>
  <si>
    <t>Mean speed (km/h)</t>
  </si>
  <si>
    <t>NZ_Walk</t>
  </si>
  <si>
    <t>NZ_Bike</t>
  </si>
  <si>
    <t>Walk Share minutes</t>
  </si>
  <si>
    <t>A. Distance (km per person per day)</t>
  </si>
  <si>
    <t>Scenario Distances by Mode in km per Person per</t>
  </si>
  <si>
    <t>2013 pop.</t>
  </si>
  <si>
    <t>NZ pop (per millions)</t>
  </si>
  <si>
    <t>ratio</t>
  </si>
  <si>
    <t>Scenario Population Distribution Data (0 = 2013 Census, 1 = Scenario projection)</t>
  </si>
  <si>
    <t>Scenario Walking &amp; Cycling Time Ratios (0 = Baseline, 1 = Scenario data)</t>
  </si>
  <si>
    <t>%VKT reduction</t>
  </si>
  <si>
    <t>Base2013</t>
  </si>
  <si>
    <t>Scen1</t>
  </si>
  <si>
    <t>Scen2</t>
  </si>
  <si>
    <t>Scen3</t>
  </si>
  <si>
    <t>Distance (km/day)</t>
  </si>
  <si>
    <t>Scen. number</t>
  </si>
  <si>
    <t>All causes</t>
  </si>
  <si>
    <t>VSL,$</t>
  </si>
  <si>
    <t>Agency</t>
  </si>
  <si>
    <t>Value of a Statistical Life Approach</t>
  </si>
  <si>
    <t>Willingness to Pay Method</t>
  </si>
  <si>
    <r>
      <t xml:space="preserve">New Zealand Version, August 3, 2016 Adapted by </t>
    </r>
    <r>
      <rPr>
        <sz val="14"/>
        <rFont val="Calibri"/>
        <family val="2"/>
        <scheme val="minor"/>
      </rPr>
      <t>Ed Randal and Michael Keall</t>
    </r>
  </si>
  <si>
    <t>Total cost of deaths</t>
  </si>
  <si>
    <t>Total social cost of deaths</t>
  </si>
  <si>
    <t>Social cost including medical and loss of output during temporary incapacitation</t>
  </si>
  <si>
    <t>MoT</t>
  </si>
  <si>
    <t>Proportion of Electric Car VKT/d</t>
  </si>
  <si>
    <r>
      <rPr>
        <sz val="16"/>
        <color theme="5"/>
        <rFont val="Calibri"/>
        <family val="2"/>
      </rPr>
      <t>←</t>
    </r>
    <r>
      <rPr>
        <sz val="16"/>
        <color theme="5"/>
        <rFont val="Calibri"/>
        <family val="2"/>
        <scheme val="minor"/>
      </rPr>
      <t>User input: Proportion of Total Car-VKT from Electric Vehicles</t>
    </r>
  </si>
  <si>
    <t>Speed (mph)</t>
  </si>
  <si>
    <t>average speed (km/h):</t>
  </si>
  <si>
    <t>Specific Causes</t>
  </si>
  <si>
    <t>Premature Deaths</t>
  </si>
  <si>
    <t>Scen4</t>
  </si>
  <si>
    <t>Scen5</t>
  </si>
  <si>
    <t>What if (6)</t>
  </si>
  <si>
    <t>Scenario name</t>
  </si>
  <si>
    <t>unit</t>
  </si>
  <si>
    <t>hr</t>
  </si>
  <si>
    <t>Base case</t>
  </si>
  <si>
    <t>Results from MoT travel model</t>
  </si>
  <si>
    <t>Secanrio A</t>
  </si>
  <si>
    <t>Secanrio B</t>
  </si>
  <si>
    <t>Secanrio C</t>
  </si>
  <si>
    <t>Secanrio D</t>
  </si>
  <si>
    <t>SCENARIOS in 2043</t>
  </si>
  <si>
    <t>Population Estimation (Stats NZ), Baseline 2013</t>
  </si>
  <si>
    <t>Scenario names</t>
  </si>
  <si>
    <t>Base case 2043</t>
  </si>
  <si>
    <t>Scenario A: staying close to the action</t>
  </si>
  <si>
    <t>Scenario B: metro-connected</t>
  </si>
  <si>
    <t>Scenario D: @home in town and country</t>
  </si>
  <si>
    <t>Scenario C: the golden triangle</t>
  </si>
  <si>
    <t>Population Forecasts (Stats NZ), Scenarios 2043</t>
  </si>
  <si>
    <t xml:space="preserve"> Table 1 shows the number of deaths, Years of Life Lost (YLLs), Years Lived with Disability (YLDs) and DALYs estimated for NZ in the year 2013 by the GBD study, due to road crash injuries.</t>
  </si>
  <si>
    <t>Table 1: 2013 GBD NZ estimates of road injury burden</t>
  </si>
  <si>
    <t xml:space="preserve">cause </t>
  </si>
  <si>
    <t>Deaths*</t>
  </si>
  <si>
    <t>YLLs</t>
  </si>
  <si>
    <t>YLDs</t>
  </si>
  <si>
    <t>Cyclist road injuries</t>
  </si>
  <si>
    <t>Motor vehicle road injuries</t>
  </si>
  <si>
    <t>Motorcyclist road injuries</t>
  </si>
  <si>
    <t>Other road injuries</t>
  </si>
  <si>
    <t>Pedestrian road injuries</t>
  </si>
  <si>
    <t>Road injuries</t>
  </si>
  <si>
    <t>*Note that these are expected rates rather than actual counts of events</t>
  </si>
  <si>
    <t>The total number of deaths, YLLs, YLDs and DALYs for any given scenario relative to the respective values at baseline can be estimated using the following, where s1 and s2 are the exposure levels of the striking vehicle (here, a motor vehicle) at times 1 and 2; m, c and p are the exposure levels of motorcyclists, cyclists and pedestrians; baseline refers to the baseline measure of health measured, which corresponds to exposure level at time 1. The summations are over the age and sex groups used in the ITHIM model, for each of which the estimated burden is provided (and Table 1 shows the 2013 burden summed across all the age/sex groups). Note that the appropriate health burden estimates to use in the following formulae from the GBD data are specific to motorcyclist road injuries, cyclists and pedestrians (as noted in the cause name).</t>
  </si>
  <si>
    <t>motorcycles =∑(0.5*baseline*(m2/m1)^0.8 + 0.5*baseline*(m2/m1)^0.525*(s2/s1)^0.525)</t>
  </si>
  <si>
    <t>cyclists=∑ (baseline*(c2/c1)^0.5*(s2/s1)^0.7)</t>
  </si>
  <si>
    <t>pedestrians=∑ (baseline*(p2/p1)^0.4*(s2/s1)^0.7)</t>
  </si>
  <si>
    <t>cars=∑ (baseline*(s2/s1)^0.8)</t>
  </si>
  <si>
    <t>The total burden associated with a scenario is:</t>
  </si>
  <si>
    <t>motocycles+cyclists+pedestrians+cars (as defined above)</t>
  </si>
  <si>
    <t>All the above are adaptations from formulae in Woodcock et al (2013). The formula for motorcycles gives equal weight to single motorcycle crashes and car vs. motorcycle crashes, hence the 0.5 occurring twice in the formula. This is because the injury burden is approximately equal for these two crash types</t>
  </si>
  <si>
    <t>c2/c1=</t>
  </si>
  <si>
    <t>p2/p1=</t>
  </si>
  <si>
    <t>s2/s1=</t>
  </si>
  <si>
    <t>cyclist road injuries</t>
  </si>
  <si>
    <t>pedestrian road injuries</t>
  </si>
  <si>
    <t>no change in other road injuries as exposure unchanged</t>
  </si>
  <si>
    <t>Road injury</t>
  </si>
  <si>
    <t>Scaled to a population</t>
  </si>
  <si>
    <t>Absolute change</t>
  </si>
  <si>
    <t>SUM</t>
  </si>
  <si>
    <t>Below worked out by MoT using the same approach</t>
  </si>
  <si>
    <t>Scaled to the polpulation (PA only without considering road injuries)</t>
  </si>
  <si>
    <t>hrs/year</t>
  </si>
  <si>
    <t>km/year</t>
  </si>
  <si>
    <t>Scenario A</t>
  </si>
  <si>
    <t>Scenario B</t>
  </si>
  <si>
    <t>Scenario C</t>
  </si>
  <si>
    <t>Scenario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</si>
</sst>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_(&quot;$&quot;* \(#,##0.00\);_(&quot;$&quot;* &quot;-&quot;??_);_(@_)"/>
    <numFmt numFmtId="165" formatCode="0.0"/>
    <numFmt numFmtId="166" formatCode="0.000"/>
    <numFmt numFmtId="167" formatCode="_-* #,##0_-;\-* #,##0_-;_-* &quot;-&quot;??_-;_-@_-"/>
    <numFmt numFmtId="168" formatCode="[&gt;0.5]#,##0;[&lt;-0.5]\-#,##0;\-"/>
    <numFmt numFmtId="169" formatCode="#,##0_ ;\-#,##0\ "/>
    <numFmt numFmtId="170" formatCode="0.0%"/>
    <numFmt numFmtId="171" formatCode="0.0000"/>
    <numFmt numFmtId="172" formatCode="0.00000"/>
    <numFmt numFmtId="173" formatCode="_-* #,##0.000_-;\-* #,##0.000_-;_-* &quot;-&quot;??_-;_-@_-"/>
    <numFmt numFmtId="174" formatCode="#,##0.0_ ;\-#,##0.0\ "/>
    <numFmt numFmtId="175" formatCode="0.000000"/>
    <numFmt numFmtId="176" formatCode="0.0000%"/>
    <numFmt numFmtId="177" formatCode="_(&quot;$&quot;* #,##0_);_(&quot;$&quot;* \(#,##0\);_(&quot;$&quot;* &quot;-&quot;??_);_(@_)"/>
    <numFmt numFmtId="178" formatCode="_(* #,##0_);_(* \(#,##0\);_(* &quot;-&quot;??_);_(@_)"/>
    <numFmt numFmtId="179" formatCode="0_);\(0\)"/>
  </numFmts>
  <fonts count="1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4"/>
      <name val="Candara"/>
      <family val="2"/>
    </font>
    <font>
      <sz val="14"/>
      <name val="Candara"/>
      <family val="2"/>
    </font>
    <font>
      <sz val="8"/>
      <name val="Arial"/>
      <family val="2"/>
    </font>
    <font>
      <b/>
      <sz val="14"/>
      <name val="Candara"/>
      <family val="2"/>
    </font>
    <font>
      <b/>
      <vertAlign val="subscript"/>
      <sz val="14"/>
      <name val="Candara"/>
      <family val="2"/>
    </font>
    <font>
      <sz val="18"/>
      <name val="Candara"/>
      <family val="2"/>
    </font>
    <font>
      <sz val="13"/>
      <name val="Arial"/>
      <family val="2"/>
    </font>
    <font>
      <sz val="10"/>
      <name val="Arial"/>
      <family val="2"/>
    </font>
    <font>
      <b/>
      <sz val="11"/>
      <name val="Candara"/>
      <family val="2"/>
    </font>
    <font>
      <b/>
      <sz val="11"/>
      <name val="Arial"/>
      <family val="2"/>
    </font>
    <font>
      <sz val="10"/>
      <name val="Candara"/>
      <family val="2"/>
    </font>
    <font>
      <sz val="10"/>
      <name val="Arial"/>
      <family val="2"/>
    </font>
    <font>
      <b/>
      <sz val="11"/>
      <color theme="1"/>
      <name val="Calibri"/>
      <family val="2"/>
      <scheme val="minor"/>
    </font>
    <font>
      <sz val="11"/>
      <name val="Arial"/>
      <family val="2"/>
    </font>
    <font>
      <sz val="10"/>
      <color theme="1"/>
      <name val="Calibri"/>
      <family val="2"/>
      <scheme val="minor"/>
    </font>
    <font>
      <sz val="8"/>
      <color theme="1"/>
      <name val="Arial"/>
      <family val="2"/>
    </font>
    <font>
      <sz val="8"/>
      <color rgb="FFFFFF00"/>
      <name val="Arial"/>
      <family val="2"/>
    </font>
    <font>
      <b/>
      <sz val="8"/>
      <color theme="1"/>
      <name val="Arial"/>
      <family val="2"/>
    </font>
    <font>
      <sz val="10"/>
      <color theme="1"/>
      <name val="Arial"/>
      <family val="2"/>
    </font>
    <font>
      <sz val="9"/>
      <color rgb="FFFFFF00"/>
      <name val="Arial"/>
      <family val="2"/>
    </font>
    <font>
      <b/>
      <sz val="10"/>
      <name val="Candara"/>
      <family val="2"/>
    </font>
    <font>
      <b/>
      <i/>
      <sz val="10"/>
      <name val="Candara"/>
      <family val="2"/>
    </font>
    <font>
      <i/>
      <sz val="10"/>
      <name val="Candara"/>
      <family val="2"/>
    </font>
    <font>
      <sz val="13"/>
      <name val="Candara"/>
      <family val="2"/>
    </font>
    <font>
      <sz val="9"/>
      <color indexed="81"/>
      <name val="Tahoma"/>
      <family val="2"/>
    </font>
    <font>
      <b/>
      <sz val="9"/>
      <color indexed="81"/>
      <name val="Tahoma"/>
      <family val="2"/>
    </font>
    <font>
      <sz val="11"/>
      <color rgb="FF3F3F76"/>
      <name val="Calibri"/>
      <family val="2"/>
      <scheme val="minor"/>
    </font>
    <font>
      <sz val="16"/>
      <name val="Arial"/>
      <family val="2"/>
    </font>
    <font>
      <sz val="16"/>
      <color rgb="FF3F3F76"/>
      <name val="Arial"/>
      <family val="2"/>
    </font>
    <font>
      <b/>
      <sz val="8"/>
      <color theme="1"/>
      <name val="Candara"/>
      <family val="2"/>
    </font>
    <font>
      <sz val="8"/>
      <color theme="1"/>
      <name val="Candara"/>
      <family val="2"/>
    </font>
    <font>
      <sz val="8"/>
      <name val="Candara"/>
      <family val="2"/>
    </font>
    <font>
      <b/>
      <sz val="8"/>
      <name val="Candara"/>
      <family val="2"/>
    </font>
    <font>
      <sz val="9"/>
      <color theme="1"/>
      <name val="Candara"/>
      <family val="2"/>
    </font>
    <font>
      <sz val="22"/>
      <color theme="1"/>
      <name val="Calibri"/>
      <family val="2"/>
      <scheme val="minor"/>
    </font>
    <font>
      <sz val="18"/>
      <color theme="1"/>
      <name val="Calibri"/>
      <family val="2"/>
      <scheme val="minor"/>
    </font>
    <font>
      <sz val="14"/>
      <name val="Arial"/>
      <family val="2"/>
    </font>
    <font>
      <u/>
      <sz val="10"/>
      <color indexed="12"/>
      <name val="Arial"/>
      <family val="2"/>
    </font>
    <font>
      <sz val="10"/>
      <name val="Times New Roman"/>
      <family val="1"/>
    </font>
    <font>
      <i/>
      <sz val="12"/>
      <name val="Times New Roman"/>
      <family val="1"/>
    </font>
    <font>
      <b/>
      <sz val="16"/>
      <color theme="1"/>
      <name val="Calibri"/>
      <family val="2"/>
      <scheme val="minor"/>
    </font>
    <font>
      <b/>
      <sz val="20"/>
      <color theme="1"/>
      <name val="Calibri"/>
      <family val="2"/>
      <scheme val="minor"/>
    </font>
    <font>
      <b/>
      <sz val="20"/>
      <name val="Calibri"/>
      <family val="2"/>
    </font>
    <font>
      <b/>
      <sz val="22"/>
      <name val="Calibri"/>
      <family val="2"/>
    </font>
    <font>
      <b/>
      <sz val="9"/>
      <color theme="1"/>
      <name val="Candara"/>
      <family val="2"/>
    </font>
    <font>
      <b/>
      <sz val="9"/>
      <color theme="1"/>
      <name val="Calibri"/>
      <family val="2"/>
      <scheme val="minor"/>
    </font>
    <font>
      <b/>
      <sz val="9"/>
      <name val="Candara"/>
      <family val="2"/>
    </font>
    <font>
      <sz val="9"/>
      <name val="Candara"/>
      <family val="2"/>
    </font>
    <font>
      <b/>
      <sz val="10"/>
      <color theme="1"/>
      <name val="Candara"/>
      <family val="2"/>
    </font>
    <font>
      <sz val="10"/>
      <color theme="1"/>
      <name val="Candara"/>
      <family val="2"/>
    </font>
    <font>
      <b/>
      <sz val="12"/>
      <color theme="1"/>
      <name val="Calibri"/>
      <family val="2"/>
      <scheme val="minor"/>
    </font>
    <font>
      <sz val="10"/>
      <color rgb="FF3F3F76"/>
      <name val="Calibri"/>
      <family val="2"/>
      <scheme val="minor"/>
    </font>
    <font>
      <b/>
      <sz val="10"/>
      <color theme="1"/>
      <name val="Calibri"/>
      <family val="2"/>
      <scheme val="minor"/>
    </font>
    <font>
      <b/>
      <sz val="9"/>
      <color rgb="FF3F3F76"/>
      <name val="Candara"/>
      <family val="2"/>
    </font>
    <font>
      <sz val="10"/>
      <color rgb="FFFF0000"/>
      <name val="Candara"/>
      <family val="2"/>
    </font>
    <font>
      <b/>
      <sz val="11"/>
      <color theme="1"/>
      <name val="Candara"/>
      <family val="2"/>
    </font>
    <font>
      <b/>
      <sz val="12"/>
      <color theme="1"/>
      <name val="Candara"/>
      <family val="2"/>
    </font>
    <font>
      <b/>
      <sz val="14"/>
      <color theme="1"/>
      <name val="Candara"/>
      <family val="2"/>
    </font>
    <font>
      <sz val="8"/>
      <color indexed="81"/>
      <name val="Tahoma"/>
      <family val="2"/>
    </font>
    <font>
      <b/>
      <sz val="8"/>
      <color indexed="81"/>
      <name val="Tahoma"/>
      <family val="2"/>
    </font>
    <font>
      <sz val="10"/>
      <name val="Calibri"/>
      <family val="2"/>
      <scheme val="minor"/>
    </font>
    <font>
      <sz val="9"/>
      <color theme="1"/>
      <name val="Calibri"/>
      <family val="2"/>
      <scheme val="minor"/>
    </font>
    <font>
      <sz val="10"/>
      <color indexed="8"/>
      <name val="Arial"/>
      <family val="2"/>
    </font>
    <font>
      <b/>
      <sz val="9"/>
      <color rgb="FFFF0000"/>
      <name val="Candara"/>
      <family val="2"/>
    </font>
    <font>
      <b/>
      <i/>
      <sz val="9"/>
      <color rgb="FFFF0000"/>
      <name val="Candara"/>
      <family val="2"/>
    </font>
    <font>
      <sz val="8"/>
      <color rgb="FF000000"/>
      <name val="Arial"/>
      <family val="2"/>
    </font>
    <font>
      <sz val="10"/>
      <color rgb="FF000000"/>
      <name val="Arial"/>
      <family val="2"/>
    </font>
    <font>
      <sz val="14"/>
      <color theme="1"/>
      <name val="Calibri"/>
      <family val="2"/>
      <scheme val="minor"/>
    </font>
    <font>
      <sz val="11"/>
      <color indexed="8"/>
      <name val="Calibri"/>
      <family val="2"/>
    </font>
    <font>
      <sz val="9"/>
      <color theme="1"/>
      <name val="Arial"/>
      <family val="2"/>
    </font>
    <font>
      <sz val="12"/>
      <name val="Arial"/>
      <family val="2"/>
    </font>
    <font>
      <b/>
      <sz val="9"/>
      <color theme="1"/>
      <name val="Arial"/>
      <family val="2"/>
    </font>
    <font>
      <sz val="10"/>
      <name val="Symbol"/>
      <family val="1"/>
      <charset val="2"/>
    </font>
    <font>
      <vertAlign val="superscript"/>
      <sz val="10"/>
      <name val="Arial"/>
      <family val="2"/>
    </font>
    <font>
      <u/>
      <sz val="10"/>
      <color theme="11"/>
      <name val="Arial"/>
      <family val="2"/>
    </font>
    <font>
      <b/>
      <sz val="12"/>
      <color rgb="FF000000"/>
      <name val="Calibri"/>
      <family val="2"/>
    </font>
    <font>
      <b/>
      <sz val="12"/>
      <color rgb="FFFA7D00"/>
      <name val="Calibri"/>
      <family val="2"/>
      <scheme val="minor"/>
    </font>
    <font>
      <sz val="12"/>
      <color rgb="FF000000"/>
      <name val="Calibri"/>
      <family val="2"/>
      <scheme val="minor"/>
    </font>
    <font>
      <sz val="11"/>
      <color theme="5"/>
      <name val="Calibri"/>
      <family val="2"/>
      <scheme val="minor"/>
    </font>
    <font>
      <b/>
      <sz val="11"/>
      <color rgb="FFFA7D00"/>
      <name val="Calibri"/>
      <family val="2"/>
      <scheme val="minor"/>
    </font>
    <font>
      <b/>
      <sz val="9"/>
      <color indexed="81"/>
      <name val="Arial"/>
      <family val="2"/>
    </font>
    <font>
      <b/>
      <sz val="12"/>
      <color theme="1"/>
      <name val="Calibri"/>
      <family val="2"/>
    </font>
    <font>
      <sz val="12"/>
      <name val="Calibri"/>
      <family val="2"/>
      <scheme val="minor"/>
    </font>
    <font>
      <b/>
      <sz val="18"/>
      <color theme="1"/>
      <name val="Calibri"/>
      <family val="2"/>
      <scheme val="minor"/>
    </font>
    <font>
      <sz val="12"/>
      <color rgb="FF006100"/>
      <name val="Calibri"/>
      <family val="2"/>
      <scheme val="minor"/>
    </font>
    <font>
      <sz val="10"/>
      <color rgb="FF000000"/>
      <name val="Calibri"/>
      <family val="2"/>
      <scheme val="minor"/>
    </font>
    <font>
      <b/>
      <sz val="22"/>
      <name val="Calibri"/>
      <family val="2"/>
      <scheme val="minor"/>
    </font>
    <font>
      <b/>
      <sz val="12"/>
      <name val="Candara"/>
      <family val="2"/>
    </font>
    <font>
      <b/>
      <sz val="11"/>
      <color rgb="FF3F3F76"/>
      <name val="Calibri"/>
      <family val="2"/>
      <scheme val="minor"/>
    </font>
    <font>
      <sz val="16"/>
      <color theme="5"/>
      <name val="Calibri"/>
      <family val="2"/>
    </font>
    <font>
      <sz val="16"/>
      <color theme="5"/>
      <name val="Calibri"/>
      <family val="2"/>
      <scheme val="minor"/>
    </font>
    <font>
      <vertAlign val="subscript"/>
      <sz val="10"/>
      <name val="Candara"/>
      <family val="2"/>
    </font>
    <font>
      <vertAlign val="superscript"/>
      <sz val="10"/>
      <name val="Candara"/>
      <family val="2"/>
    </font>
    <font>
      <sz val="10"/>
      <name val="Calibri"/>
      <family val="2"/>
    </font>
    <font>
      <sz val="12"/>
      <name val="Candara"/>
      <family val="2"/>
    </font>
    <font>
      <vertAlign val="subscript"/>
      <sz val="12"/>
      <name val="Candara"/>
      <family val="2"/>
    </font>
    <font>
      <i/>
      <sz val="10"/>
      <name val="Arial"/>
      <family val="2"/>
    </font>
    <font>
      <b/>
      <sz val="11"/>
      <color rgb="FF3F3F3F"/>
      <name val="Calibri"/>
      <family val="2"/>
      <scheme val="minor"/>
    </font>
    <font>
      <sz val="10"/>
      <color rgb="FF3F3F76"/>
      <name val="Candara"/>
      <family val="2"/>
    </font>
    <font>
      <sz val="11"/>
      <color rgb="FF9C6500"/>
      <name val="Calibri"/>
      <family val="2"/>
      <scheme val="minor"/>
    </font>
    <font>
      <sz val="8"/>
      <color rgb="FF3F3F76"/>
      <name val="Arial"/>
      <family val="2"/>
    </font>
    <font>
      <sz val="10"/>
      <name val="Arial"/>
      <family val="2"/>
    </font>
    <font>
      <b/>
      <sz val="10"/>
      <name val="Arial"/>
      <family val="2"/>
    </font>
    <font>
      <b/>
      <sz val="12"/>
      <name val="Arial"/>
      <family val="2"/>
    </font>
    <font>
      <sz val="20"/>
      <name val="Arial"/>
      <family val="2"/>
    </font>
    <font>
      <sz val="14"/>
      <name val="Calibri"/>
      <family val="2"/>
      <scheme val="minor"/>
    </font>
    <font>
      <b/>
      <sz val="12"/>
      <name val="Calibri"/>
      <family val="2"/>
      <scheme val="minor"/>
    </font>
    <font>
      <b/>
      <sz val="14"/>
      <name val="Arial"/>
      <family val="2"/>
    </font>
    <font>
      <b/>
      <sz val="10"/>
      <color rgb="FF000000"/>
      <name val="Calibri"/>
      <family val="2"/>
    </font>
    <font>
      <i/>
      <sz val="12"/>
      <name val="Candara"/>
      <family val="2"/>
    </font>
    <font>
      <b/>
      <sz val="10"/>
      <color rgb="FF0070C0"/>
      <name val="Arial"/>
      <family val="2"/>
    </font>
    <font>
      <sz val="10"/>
      <color theme="0" tint="-0.499984740745262"/>
      <name val="Arial"/>
      <family val="2"/>
    </font>
    <font>
      <b/>
      <sz val="12"/>
      <color theme="0" tint="-0.499984740745262"/>
      <name val="Calibri"/>
      <family val="2"/>
      <scheme val="minor"/>
    </font>
    <font>
      <b/>
      <sz val="10"/>
      <color theme="0" tint="-0.499984740745262"/>
      <name val="Arial"/>
      <family val="2"/>
    </font>
    <font>
      <sz val="12"/>
      <color theme="0" tint="-0.499984740745262"/>
      <name val="Calibri"/>
      <family val="2"/>
      <scheme val="minor"/>
    </font>
    <font>
      <b/>
      <sz val="11"/>
      <color rgb="FF0070C0"/>
      <name val="Calibri"/>
      <family val="2"/>
      <scheme val="minor"/>
    </font>
  </fonts>
  <fills count="2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rgb="FF66FFFF"/>
        <bgColor indexed="64"/>
      </patternFill>
    </fill>
    <fill>
      <patternFill patternType="solid">
        <fgColor rgb="FFCCFFFF"/>
        <bgColor indexed="64"/>
      </patternFill>
    </fill>
    <fill>
      <patternFill patternType="solid">
        <fgColor rgb="FF002060"/>
        <bgColor indexed="64"/>
      </patternFill>
    </fill>
    <fill>
      <patternFill patternType="solid">
        <fgColor rgb="FFCCFFCC"/>
        <bgColor indexed="64"/>
      </patternFill>
    </fill>
    <fill>
      <patternFill patternType="solid">
        <fgColor rgb="FF35EB35"/>
        <bgColor indexed="64"/>
      </patternFill>
    </fill>
    <fill>
      <patternFill patternType="solid">
        <fgColor rgb="FFFFCC99"/>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50"/>
        <bgColor rgb="FF000000"/>
      </patternFill>
    </fill>
    <fill>
      <patternFill patternType="solid">
        <fgColor rgb="FFF2F2F2"/>
      </patternFill>
    </fill>
    <fill>
      <patternFill patternType="solid">
        <fgColor theme="5"/>
        <bgColor indexed="64"/>
      </patternFill>
    </fill>
    <fill>
      <patternFill patternType="solid">
        <fgColor rgb="FFC6EFCE"/>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EB9C"/>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C000"/>
        <bgColor indexed="64"/>
      </patternFill>
    </fill>
  </fills>
  <borders count="79">
    <border>
      <left/>
      <right/>
      <top/>
      <bottom/>
      <diagonal/>
    </border>
    <border>
      <left/>
      <right/>
      <top/>
      <bottom style="medium">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auto="1"/>
      </left>
      <right style="thin">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medium">
        <color auto="1"/>
      </top>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medium">
        <color auto="1"/>
      </left>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indexed="22"/>
      </left>
      <right style="thin">
        <color indexed="22"/>
      </right>
      <top style="thin">
        <color indexed="22"/>
      </top>
      <bottom style="thin">
        <color indexed="22"/>
      </bottom>
      <diagonal/>
    </border>
    <border>
      <left/>
      <right style="thin">
        <color rgb="FF000000"/>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style="thin">
        <color indexed="64"/>
      </top>
      <bottom style="thin">
        <color indexed="64"/>
      </bottom>
      <diagonal/>
    </border>
    <border>
      <left style="thin">
        <color auto="1"/>
      </left>
      <right style="thin">
        <color rgb="FF7F7F7F"/>
      </right>
      <top style="thin">
        <color rgb="FF7F7F7F"/>
      </top>
      <bottom style="medium">
        <color indexed="64"/>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medium">
        <color indexed="64"/>
      </bottom>
      <diagonal/>
    </border>
    <border>
      <left style="thin">
        <color auto="1"/>
      </left>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top style="thin">
        <color indexed="64"/>
      </top>
      <bottom style="thin">
        <color auto="1"/>
      </bottom>
      <diagonal/>
    </border>
    <border>
      <left style="thin">
        <color rgb="FF3F3F3F"/>
      </left>
      <right style="thin">
        <color rgb="FF3F3F3F"/>
      </right>
      <top style="thin">
        <color rgb="FF3F3F3F"/>
      </top>
      <bottom style="thin">
        <color rgb="FF3F3F3F"/>
      </bottom>
      <diagonal/>
    </border>
    <border>
      <left style="medium">
        <color auto="1"/>
      </left>
      <right style="thin">
        <color indexed="64"/>
      </right>
      <top/>
      <bottom/>
      <diagonal/>
    </border>
    <border>
      <left style="thin">
        <color indexed="64"/>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indexed="64"/>
      </right>
      <top style="thin">
        <color auto="1"/>
      </top>
      <bottom/>
      <diagonal/>
    </border>
    <border>
      <left style="thin">
        <color rgb="FF7F7F7F"/>
      </left>
      <right style="thin">
        <color indexed="64"/>
      </right>
      <top style="thin">
        <color rgb="FF7F7F7F"/>
      </top>
      <bottom style="thin">
        <color auto="1"/>
      </bottom>
      <diagonal/>
    </border>
    <border>
      <left style="thin">
        <color auto="1"/>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auto="1"/>
      </left>
      <right style="thin">
        <color auto="1"/>
      </right>
      <top style="thin">
        <color auto="1"/>
      </top>
      <bottom style="medium">
        <color indexed="64"/>
      </bottom>
      <diagonal/>
    </border>
    <border>
      <left/>
      <right style="thin">
        <color auto="1"/>
      </right>
      <top style="thin">
        <color indexed="64"/>
      </top>
      <bottom style="thin">
        <color auto="1"/>
      </bottom>
      <diagonal/>
    </border>
  </borders>
  <cellStyleXfs count="513">
    <xf numFmtId="0" fontId="0" fillId="0" borderId="0"/>
    <xf numFmtId="0" fontId="40" fillId="0" borderId="0"/>
    <xf numFmtId="9" fontId="32" fillId="0" borderId="0" applyFont="0" applyFill="0" applyBorder="0" applyAlignment="0" applyProtection="0"/>
    <xf numFmtId="43" fontId="44" fillId="0" borderId="0" applyFont="0" applyFill="0" applyBorder="0" applyAlignment="0" applyProtection="0"/>
    <xf numFmtId="0" fontId="31" fillId="0" borderId="0"/>
    <xf numFmtId="9" fontId="31" fillId="0" borderId="0" applyFont="0" applyFill="0" applyBorder="0" applyAlignment="0" applyProtection="0"/>
    <xf numFmtId="0" fontId="59" fillId="12" borderId="25" applyNumberFormat="0" applyAlignment="0" applyProtection="0"/>
    <xf numFmtId="0" fontId="30" fillId="0" borderId="0"/>
    <xf numFmtId="168" fontId="69" fillId="0" borderId="0">
      <alignment horizontal="left" vertical="center"/>
    </xf>
    <xf numFmtId="0" fontId="70" fillId="0" borderId="0" applyNumberFormat="0" applyFill="0" applyBorder="0" applyAlignment="0" applyProtection="0">
      <alignment vertical="top"/>
      <protection locked="0"/>
    </xf>
    <xf numFmtId="168" fontId="71" fillId="0" borderId="0" applyFill="0" applyBorder="0" applyAlignment="0" applyProtection="0"/>
    <xf numFmtId="0" fontId="32" fillId="0" borderId="0"/>
    <xf numFmtId="0" fontId="72" fillId="0" borderId="0"/>
    <xf numFmtId="0" fontId="29" fillId="0" borderId="0"/>
    <xf numFmtId="9" fontId="29" fillId="0" borderId="0" applyFont="0" applyFill="0" applyBorder="0" applyAlignment="0" applyProtection="0"/>
    <xf numFmtId="0" fontId="28" fillId="0" borderId="0"/>
    <xf numFmtId="0" fontId="95" fillId="0" borderId="0"/>
    <xf numFmtId="0" fontId="27" fillId="0" borderId="0"/>
    <xf numFmtId="9" fontId="27" fillId="0" borderId="0" applyFont="0" applyFill="0" applyBorder="0" applyAlignment="0" applyProtection="0"/>
    <xf numFmtId="43" fontId="32" fillId="0" borderId="0" applyFont="0" applyFill="0" applyBorder="0" applyAlignment="0" applyProtection="0"/>
    <xf numFmtId="0" fontId="32" fillId="0" borderId="0"/>
    <xf numFmtId="0" fontId="24"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64" fontId="3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43" fontId="32"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9" fillId="17" borderId="25" applyNumberFormat="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1" fillId="0" borderId="0"/>
    <xf numFmtId="0" fontId="112" fillId="17" borderId="25" applyNumberFormat="0" applyAlignment="0" applyProtection="0"/>
    <xf numFmtId="9" fontId="21" fillId="0" borderId="0" applyFont="0" applyFill="0" applyBorder="0" applyAlignment="0" applyProtection="0"/>
    <xf numFmtId="43" fontId="2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0"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9"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7" fillId="19"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7"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7" fillId="0" borderId="0"/>
    <xf numFmtId="0" fontId="11" fillId="0" borderId="0"/>
    <xf numFmtId="0" fontId="130" fillId="17" borderId="69" applyNumberFormat="0" applyAlignment="0" applyProtection="0"/>
    <xf numFmtId="0" fontId="132" fillId="22" borderId="0" applyNumberFormat="0" applyBorder="0" applyAlignment="0" applyProtection="0"/>
    <xf numFmtId="0" fontId="134" fillId="0" borderId="0"/>
  </cellStyleXfs>
  <cellXfs count="1083">
    <xf numFmtId="0" fontId="0" fillId="0" borderId="0" xfId="0"/>
    <xf numFmtId="0" fontId="0" fillId="0" borderId="0" xfId="0" applyFill="1"/>
    <xf numFmtId="0" fontId="33" fillId="0" borderId="0" xfId="0" applyFont="1" applyFill="1"/>
    <xf numFmtId="1" fontId="0" fillId="0" borderId="0" xfId="0" applyNumberFormat="1" applyFill="1"/>
    <xf numFmtId="0" fontId="36" fillId="0" borderId="0" xfId="0" applyFont="1" applyFill="1" applyAlignment="1">
      <alignment horizontal="right"/>
    </xf>
    <xf numFmtId="0" fontId="38" fillId="0" borderId="0" xfId="0" applyFont="1" applyFill="1" applyAlignment="1">
      <alignment horizontal="right"/>
    </xf>
    <xf numFmtId="166" fontId="34" fillId="0" borderId="0" xfId="0" applyNumberFormat="1" applyFont="1" applyFill="1"/>
    <xf numFmtId="0" fontId="36" fillId="0" borderId="0" xfId="0" applyFont="1" applyFill="1"/>
    <xf numFmtId="1" fontId="36" fillId="0" borderId="0" xfId="0" applyNumberFormat="1" applyFont="1" applyFill="1" applyAlignment="1">
      <alignment horizontal="right"/>
    </xf>
    <xf numFmtId="165" fontId="0" fillId="0" borderId="0" xfId="0" applyNumberFormat="1" applyFill="1"/>
    <xf numFmtId="0" fontId="31" fillId="0" borderId="0" xfId="4"/>
    <xf numFmtId="2" fontId="31" fillId="0" borderId="0" xfId="4" applyNumberFormat="1"/>
    <xf numFmtId="1" fontId="31" fillId="0" borderId="0" xfId="4" applyNumberFormat="1"/>
    <xf numFmtId="0" fontId="47" fillId="0" borderId="0" xfId="4" applyFont="1"/>
    <xf numFmtId="0" fontId="48" fillId="0" borderId="11" xfId="4" applyFont="1" applyBorder="1"/>
    <xf numFmtId="165" fontId="48" fillId="0" borderId="11" xfId="4" applyNumberFormat="1" applyFont="1" applyBorder="1" applyAlignment="1">
      <alignment horizontal="center"/>
    </xf>
    <xf numFmtId="1" fontId="48" fillId="5" borderId="11" xfId="4" applyNumberFormat="1" applyFont="1" applyFill="1" applyBorder="1" applyAlignment="1">
      <alignment horizontal="center"/>
    </xf>
    <xf numFmtId="1" fontId="48" fillId="0" borderId="11" xfId="4" applyNumberFormat="1" applyFont="1" applyBorder="1" applyAlignment="1">
      <alignment horizontal="center"/>
    </xf>
    <xf numFmtId="165" fontId="48" fillId="5" borderId="11" xfId="4" applyNumberFormat="1" applyFont="1" applyFill="1" applyBorder="1" applyAlignment="1">
      <alignment horizontal="center"/>
    </xf>
    <xf numFmtId="2" fontId="48" fillId="0" borderId="11" xfId="4" applyNumberFormat="1" applyFont="1" applyBorder="1" applyAlignment="1">
      <alignment horizontal="center"/>
    </xf>
    <xf numFmtId="0" fontId="48" fillId="0" borderId="11" xfId="4" applyFont="1" applyBorder="1" applyAlignment="1">
      <alignment horizontal="center"/>
    </xf>
    <xf numFmtId="1" fontId="49" fillId="6" borderId="11" xfId="4" applyNumberFormat="1" applyFont="1" applyFill="1" applyBorder="1" applyAlignment="1">
      <alignment horizontal="center"/>
    </xf>
    <xf numFmtId="9" fontId="48" fillId="0" borderId="11" xfId="5" applyFont="1" applyBorder="1" applyAlignment="1">
      <alignment horizontal="center"/>
    </xf>
    <xf numFmtId="0" fontId="47" fillId="0" borderId="0" xfId="4" applyFont="1" applyAlignment="1">
      <alignment wrapText="1"/>
    </xf>
    <xf numFmtId="0" fontId="48" fillId="0" borderId="11" xfId="4" applyFont="1" applyBorder="1" applyAlignment="1">
      <alignment wrapText="1"/>
    </xf>
    <xf numFmtId="0" fontId="50" fillId="0" borderId="11" xfId="4" applyFont="1" applyBorder="1" applyAlignment="1">
      <alignment horizontal="center" wrapText="1"/>
    </xf>
    <xf numFmtId="2" fontId="50" fillId="0" borderId="11" xfId="4" applyNumberFormat="1" applyFont="1" applyBorder="1" applyAlignment="1">
      <alignment horizontal="center" wrapText="1"/>
    </xf>
    <xf numFmtId="1" fontId="50" fillId="0" borderId="11" xfId="4" applyNumberFormat="1" applyFont="1" applyBorder="1" applyAlignment="1">
      <alignment horizontal="center" wrapText="1"/>
    </xf>
    <xf numFmtId="1" fontId="48" fillId="0" borderId="11" xfId="4" applyNumberFormat="1" applyFont="1" applyBorder="1" applyAlignment="1">
      <alignment horizontal="center" wrapText="1"/>
    </xf>
    <xf numFmtId="0" fontId="48" fillId="0" borderId="11" xfId="4" applyFont="1" applyBorder="1" applyAlignment="1">
      <alignment horizontal="center" wrapText="1"/>
    </xf>
    <xf numFmtId="9" fontId="48" fillId="5" borderId="11" xfId="2" applyFont="1" applyFill="1" applyBorder="1" applyAlignment="1">
      <alignment horizontal="center"/>
    </xf>
    <xf numFmtId="0" fontId="50" fillId="0" borderId="11" xfId="4" applyFont="1" applyBorder="1" applyAlignment="1">
      <alignment horizontal="center" wrapText="1"/>
    </xf>
    <xf numFmtId="9" fontId="52" fillId="9" borderId="11" xfId="2" applyFont="1" applyFill="1" applyBorder="1" applyAlignment="1">
      <alignment horizontal="center"/>
    </xf>
    <xf numFmtId="0" fontId="53" fillId="2" borderId="14" xfId="0" applyFont="1" applyFill="1" applyBorder="1" applyAlignment="1">
      <alignment horizontal="center"/>
    </xf>
    <xf numFmtId="0" fontId="53" fillId="2" borderId="16" xfId="0" applyFont="1" applyFill="1" applyBorder="1" applyAlignment="1">
      <alignment horizontal="center"/>
    </xf>
    <xf numFmtId="1" fontId="43" fillId="3" borderId="2" xfId="0"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5" xfId="1" applyNumberFormat="1" applyFont="1" applyFill="1" applyBorder="1" applyAlignment="1">
      <alignment horizontal="center"/>
    </xf>
    <xf numFmtId="0" fontId="43" fillId="8" borderId="11" xfId="0" applyFont="1" applyFill="1" applyBorder="1" applyAlignment="1">
      <alignment horizontal="center"/>
    </xf>
    <xf numFmtId="0" fontId="53" fillId="2" borderId="2" xfId="0" applyFont="1" applyFill="1" applyBorder="1" applyAlignment="1">
      <alignment horizontal="center"/>
    </xf>
    <xf numFmtId="0" fontId="53" fillId="2" borderId="6" xfId="0" applyFont="1" applyFill="1" applyBorder="1" applyAlignment="1">
      <alignment horizontal="center"/>
    </xf>
    <xf numFmtId="0" fontId="43" fillId="2" borderId="2" xfId="0" applyFont="1" applyFill="1" applyBorder="1" applyAlignment="1">
      <alignment horizontal="center"/>
    </xf>
    <xf numFmtId="0" fontId="54" fillId="4" borderId="11" xfId="0" applyFont="1" applyFill="1" applyBorder="1" applyAlignment="1">
      <alignment horizontal="center"/>
    </xf>
    <xf numFmtId="1" fontId="43" fillId="0" borderId="11" xfId="0" applyNumberFormat="1" applyFont="1" applyBorder="1" applyAlignment="1">
      <alignment horizontal="center"/>
    </xf>
    <xf numFmtId="0" fontId="53" fillId="0" borderId="11" xfId="0" applyFont="1" applyBorder="1" applyAlignment="1">
      <alignment horizontal="center"/>
    </xf>
    <xf numFmtId="1" fontId="43" fillId="0" borderId="11" xfId="0" applyNumberFormat="1" applyFont="1" applyFill="1" applyBorder="1" applyAlignment="1">
      <alignment horizontal="center"/>
    </xf>
    <xf numFmtId="0" fontId="35" fillId="0" borderId="0" xfId="0" applyFont="1"/>
    <xf numFmtId="0" fontId="39" fillId="0" borderId="0" xfId="0" applyFont="1" applyFill="1" applyBorder="1" applyAlignment="1">
      <alignment horizontal="center"/>
    </xf>
    <xf numFmtId="1" fontId="43" fillId="0" borderId="27" xfId="0" applyNumberFormat="1" applyFont="1" applyFill="1" applyBorder="1" applyAlignment="1">
      <alignment horizontal="center"/>
    </xf>
    <xf numFmtId="0" fontId="31" fillId="0" borderId="0" xfId="4" applyFill="1" applyBorder="1"/>
    <xf numFmtId="0" fontId="31" fillId="0" borderId="0" xfId="4" applyFill="1" applyBorder="1" applyAlignment="1">
      <alignment horizontal="center"/>
    </xf>
    <xf numFmtId="1" fontId="53" fillId="3" borderId="2" xfId="0" applyNumberFormat="1" applyFont="1" applyFill="1" applyBorder="1" applyAlignment="1">
      <alignment horizontal="center"/>
    </xf>
    <xf numFmtId="0" fontId="53" fillId="4" borderId="30" xfId="0" applyFont="1" applyFill="1" applyBorder="1" applyAlignment="1">
      <alignment horizontal="center"/>
    </xf>
    <xf numFmtId="1" fontId="53" fillId="11" borderId="6" xfId="0" applyNumberFormat="1" applyFont="1" applyFill="1" applyBorder="1" applyAlignment="1">
      <alignment horizontal="center"/>
    </xf>
    <xf numFmtId="2" fontId="53" fillId="11" borderId="6" xfId="0" applyNumberFormat="1" applyFont="1" applyFill="1" applyBorder="1" applyAlignment="1">
      <alignment horizontal="center"/>
    </xf>
    <xf numFmtId="1" fontId="53" fillId="3" borderId="11" xfId="0" applyNumberFormat="1" applyFont="1" applyFill="1" applyBorder="1" applyAlignment="1">
      <alignment horizontal="center"/>
    </xf>
    <xf numFmtId="1" fontId="43" fillId="3" borderId="11" xfId="0" applyNumberFormat="1" applyFont="1" applyFill="1" applyBorder="1" applyAlignment="1">
      <alignment horizontal="center"/>
    </xf>
    <xf numFmtId="0" fontId="43" fillId="2" borderId="3" xfId="0" applyFont="1" applyFill="1" applyBorder="1" applyAlignment="1">
      <alignment horizontal="center"/>
    </xf>
    <xf numFmtId="0" fontId="43" fillId="2" borderId="4" xfId="0" applyFont="1" applyFill="1" applyBorder="1" applyAlignment="1">
      <alignment horizontal="center"/>
    </xf>
    <xf numFmtId="0" fontId="43" fillId="2" borderId="0" xfId="0" applyFont="1" applyFill="1" applyBorder="1" applyAlignment="1">
      <alignment horizontal="center"/>
    </xf>
    <xf numFmtId="49" fontId="65" fillId="0" borderId="0" xfId="0" applyNumberFormat="1" applyFont="1" applyFill="1" applyBorder="1" applyAlignment="1">
      <alignment horizontal="center"/>
    </xf>
    <xf numFmtId="0" fontId="61" fillId="12" borderId="26" xfId="6" applyFont="1" applyBorder="1" applyAlignment="1">
      <alignment horizontal="center"/>
    </xf>
    <xf numFmtId="0" fontId="39" fillId="0" borderId="0" xfId="0" applyFont="1" applyFill="1" applyAlignment="1">
      <alignment horizontal="center"/>
    </xf>
    <xf numFmtId="0" fontId="39" fillId="0" borderId="0" xfId="0" applyFont="1" applyAlignment="1">
      <alignment horizontal="center"/>
    </xf>
    <xf numFmtId="0" fontId="43" fillId="0" borderId="0" xfId="0" applyFont="1" applyAlignment="1">
      <alignment horizontal="center"/>
    </xf>
    <xf numFmtId="0" fontId="42" fillId="0" borderId="0" xfId="0" applyFont="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165" fontId="0" fillId="0" borderId="1" xfId="0" applyNumberFormat="1" applyFill="1" applyBorder="1" applyAlignment="1">
      <alignment horizontal="center"/>
    </xf>
    <xf numFmtId="9" fontId="0" fillId="0" borderId="1" xfId="2" applyFont="1" applyFill="1" applyBorder="1" applyAlignment="1">
      <alignment horizontal="center"/>
    </xf>
    <xf numFmtId="0" fontId="0" fillId="0" borderId="14" xfId="0" applyFill="1" applyBorder="1" applyAlignment="1">
      <alignment horizontal="center"/>
    </xf>
    <xf numFmtId="0" fontId="32" fillId="0" borderId="0" xfId="0" applyFont="1" applyFill="1" applyBorder="1" applyAlignment="1">
      <alignment horizontal="center"/>
    </xf>
    <xf numFmtId="0" fontId="0" fillId="0" borderId="0" xfId="0" applyAlignment="1">
      <alignment horizontal="center"/>
    </xf>
    <xf numFmtId="0" fontId="43" fillId="8" borderId="19" xfId="0" applyFont="1" applyFill="1" applyBorder="1" applyAlignment="1">
      <alignment horizontal="center"/>
    </xf>
    <xf numFmtId="1" fontId="43" fillId="0" borderId="10" xfId="0" applyNumberFormat="1" applyFont="1" applyFill="1" applyBorder="1" applyAlignment="1">
      <alignment horizontal="center"/>
    </xf>
    <xf numFmtId="1" fontId="43" fillId="0" borderId="28" xfId="0" applyNumberFormat="1" applyFont="1" applyFill="1" applyBorder="1" applyAlignment="1">
      <alignment horizontal="center"/>
    </xf>
    <xf numFmtId="1" fontId="43" fillId="0" borderId="0" xfId="0" applyNumberFormat="1" applyFont="1" applyFill="1" applyBorder="1" applyAlignment="1">
      <alignment horizontal="center"/>
    </xf>
    <xf numFmtId="1" fontId="43" fillId="0" borderId="15" xfId="0" applyNumberFormat="1" applyFont="1" applyFill="1" applyBorder="1" applyAlignment="1">
      <alignment horizontal="center"/>
    </xf>
    <xf numFmtId="1" fontId="43" fillId="0" borderId="1" xfId="0" applyNumberFormat="1" applyFont="1" applyFill="1" applyBorder="1" applyAlignment="1">
      <alignment horizontal="center"/>
    </xf>
    <xf numFmtId="1" fontId="43" fillId="0" borderId="29" xfId="0" applyNumberFormat="1" applyFont="1" applyFill="1" applyBorder="1" applyAlignment="1">
      <alignment horizontal="center"/>
    </xf>
    <xf numFmtId="1" fontId="43" fillId="0" borderId="0" xfId="0" applyNumberFormat="1" applyFont="1" applyAlignment="1">
      <alignment horizontal="center"/>
    </xf>
    <xf numFmtId="9" fontId="43" fillId="0" borderId="0" xfId="2" applyFont="1" applyAlignment="1">
      <alignment horizontal="center"/>
    </xf>
    <xf numFmtId="165" fontId="53" fillId="4" borderId="11" xfId="0" applyNumberFormat="1" applyFont="1" applyFill="1" applyBorder="1" applyAlignment="1">
      <alignment horizontal="center"/>
    </xf>
    <xf numFmtId="0" fontId="32" fillId="0" borderId="10" xfId="0" applyFont="1" applyFill="1" applyBorder="1" applyAlignment="1">
      <alignment horizontal="center"/>
    </xf>
    <xf numFmtId="165" fontId="32" fillId="0" borderId="10" xfId="0" applyNumberFormat="1" applyFont="1" applyFill="1" applyBorder="1" applyAlignment="1">
      <alignment horizontal="center"/>
    </xf>
    <xf numFmtId="165" fontId="53" fillId="4" borderId="0"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1" xfId="0" applyNumberFormat="1" applyFont="1" applyFill="1" applyBorder="1" applyAlignment="1">
      <alignment horizontal="center"/>
    </xf>
    <xf numFmtId="0" fontId="64" fillId="0" borderId="0" xfId="0" applyFont="1"/>
    <xf numFmtId="2" fontId="53" fillId="4" borderId="0" xfId="0" applyNumberFormat="1" applyFont="1" applyFill="1" applyBorder="1" applyAlignment="1">
      <alignment horizontal="center"/>
    </xf>
    <xf numFmtId="9" fontId="62" fillId="0" borderId="0" xfId="2" applyNumberFormat="1" applyFont="1" applyFill="1" applyBorder="1" applyAlignment="1">
      <alignment horizontal="center"/>
    </xf>
    <xf numFmtId="0" fontId="35" fillId="0" borderId="0" xfId="0" applyFont="1" applyFill="1"/>
    <xf numFmtId="9" fontId="63" fillId="0" borderId="0" xfId="2" applyNumberFormat="1" applyFont="1" applyFill="1" applyBorder="1" applyAlignment="1">
      <alignment horizontal="center"/>
    </xf>
    <xf numFmtId="1" fontId="63" fillId="0" borderId="0" xfId="0" applyNumberFormat="1" applyFont="1" applyFill="1" applyBorder="1" applyAlignment="1">
      <alignment horizontal="center"/>
    </xf>
    <xf numFmtId="165" fontId="43" fillId="3" borderId="11" xfId="0" applyNumberFormat="1" applyFont="1" applyFill="1" applyBorder="1" applyAlignment="1">
      <alignment horizontal="center"/>
    </xf>
    <xf numFmtId="0" fontId="30" fillId="0" borderId="0" xfId="7"/>
    <xf numFmtId="0" fontId="67" fillId="0" borderId="0" xfId="7" applyFont="1"/>
    <xf numFmtId="0" fontId="68" fillId="0" borderId="0" xfId="7" applyFont="1"/>
    <xf numFmtId="0" fontId="35" fillId="0" borderId="0" xfId="0" applyFont="1" applyFill="1" applyAlignment="1">
      <alignment horizontal="center"/>
    </xf>
    <xf numFmtId="0" fontId="74" fillId="0" borderId="0" xfId="0" applyFont="1" applyFill="1" applyBorder="1" applyAlignment="1">
      <alignment vertical="center"/>
    </xf>
    <xf numFmtId="0" fontId="31" fillId="0" borderId="0" xfId="4" applyAlignment="1">
      <alignment horizontal="center"/>
    </xf>
    <xf numFmtId="0" fontId="31" fillId="5" borderId="11" xfId="4" applyFill="1" applyBorder="1" applyAlignment="1">
      <alignment horizontal="center"/>
    </xf>
    <xf numFmtId="1" fontId="31" fillId="5" borderId="11" xfId="4" applyNumberFormat="1" applyFill="1" applyBorder="1" applyAlignment="1">
      <alignment horizontal="center"/>
    </xf>
    <xf numFmtId="0" fontId="31" fillId="5" borderId="0" xfId="4" applyFill="1" applyAlignment="1">
      <alignment horizontal="center"/>
    </xf>
    <xf numFmtId="9" fontId="66" fillId="4" borderId="11" xfId="2" applyNumberFormat="1" applyFont="1" applyFill="1" applyBorder="1" applyAlignment="1">
      <alignment horizontal="center"/>
    </xf>
    <xf numFmtId="9" fontId="66" fillId="5" borderId="11" xfId="2" applyNumberFormat="1" applyFont="1" applyFill="1" applyBorder="1" applyAlignment="1">
      <alignment horizontal="center"/>
    </xf>
    <xf numFmtId="0" fontId="78" fillId="13" borderId="11" xfId="0" applyFont="1" applyFill="1" applyBorder="1" applyAlignment="1">
      <alignment wrapText="1"/>
    </xf>
    <xf numFmtId="0" fontId="77" fillId="14" borderId="11" xfId="0" applyFont="1" applyFill="1" applyBorder="1"/>
    <xf numFmtId="165" fontId="66" fillId="0" borderId="11" xfId="0" applyNumberFormat="1" applyFont="1" applyBorder="1" applyAlignment="1">
      <alignment horizontal="center"/>
    </xf>
    <xf numFmtId="165" fontId="66" fillId="4" borderId="11" xfId="0" applyNumberFormat="1" applyFont="1" applyFill="1" applyBorder="1" applyAlignment="1">
      <alignment horizontal="center"/>
    </xf>
    <xf numFmtId="165" fontId="66" fillId="5" borderId="11" xfId="2" applyNumberFormat="1" applyFont="1" applyFill="1" applyBorder="1" applyAlignment="1">
      <alignment horizontal="center"/>
    </xf>
    <xf numFmtId="165" fontId="66" fillId="4" borderId="11" xfId="2" applyNumberFormat="1" applyFont="1" applyFill="1" applyBorder="1" applyAlignment="1">
      <alignment horizontal="center"/>
    </xf>
    <xf numFmtId="0" fontId="79" fillId="10" borderId="32" xfId="0" applyFont="1" applyFill="1" applyBorder="1" applyAlignment="1">
      <alignment horizontal="center" vertical="top" wrapText="1"/>
    </xf>
    <xf numFmtId="1" fontId="80" fillId="3" borderId="11" xfId="0" applyNumberFormat="1" applyFont="1" applyFill="1" applyBorder="1" applyAlignment="1">
      <alignment horizontal="center"/>
    </xf>
    <xf numFmtId="1" fontId="80" fillId="3" borderId="19" xfId="0" applyNumberFormat="1" applyFont="1" applyFill="1" applyBorder="1" applyAlignment="1">
      <alignment horizontal="center"/>
    </xf>
    <xf numFmtId="0" fontId="79" fillId="2" borderId="32" xfId="0" applyFont="1" applyFill="1" applyBorder="1" applyAlignment="1">
      <alignment horizontal="center"/>
    </xf>
    <xf numFmtId="9" fontId="80" fillId="8" borderId="11" xfId="0" applyNumberFormat="1" applyFont="1" applyFill="1" applyBorder="1" applyAlignment="1">
      <alignment horizontal="center"/>
    </xf>
    <xf numFmtId="9" fontId="80" fillId="8" borderId="19" xfId="0" applyNumberFormat="1" applyFont="1" applyFill="1" applyBorder="1" applyAlignment="1">
      <alignment horizontal="center"/>
    </xf>
    <xf numFmtId="0" fontId="79" fillId="2" borderId="33" xfId="0" applyFont="1" applyFill="1" applyBorder="1" applyAlignment="1">
      <alignment horizontal="center"/>
    </xf>
    <xf numFmtId="169" fontId="43" fillId="2" borderId="2" xfId="3" applyNumberFormat="1" applyFont="1" applyFill="1" applyBorder="1" applyAlignment="1">
      <alignment horizontal="center"/>
    </xf>
    <xf numFmtId="169" fontId="43" fillId="2" borderId="8" xfId="3" applyNumberFormat="1" applyFont="1" applyFill="1" applyBorder="1" applyAlignment="1">
      <alignment horizontal="center"/>
    </xf>
    <xf numFmtId="0" fontId="46" fillId="8" borderId="27" xfId="0" applyFont="1" applyFill="1" applyBorder="1" applyAlignment="1">
      <alignment horizontal="center"/>
    </xf>
    <xf numFmtId="0" fontId="46" fillId="10" borderId="14" xfId="0" applyFont="1" applyFill="1" applyBorder="1"/>
    <xf numFmtId="0" fontId="46" fillId="10" borderId="0" xfId="0" applyFont="1" applyFill="1" applyBorder="1"/>
    <xf numFmtId="169" fontId="53" fillId="4" borderId="9" xfId="3" applyNumberFormat="1" applyFont="1" applyFill="1" applyBorder="1" applyAlignment="1">
      <alignment horizontal="center"/>
    </xf>
    <xf numFmtId="0" fontId="29" fillId="0" borderId="0" xfId="13" applyFont="1"/>
    <xf numFmtId="0" fontId="29" fillId="0" borderId="0" xfId="13"/>
    <xf numFmtId="0" fontId="83" fillId="0" borderId="0" xfId="13" applyFont="1"/>
    <xf numFmtId="165" fontId="84" fillId="12" borderId="11" xfId="6" applyNumberFormat="1" applyFont="1" applyBorder="1" applyAlignment="1">
      <alignment horizontal="center"/>
    </xf>
    <xf numFmtId="0" fontId="32" fillId="0" borderId="0" xfId="0" applyFont="1"/>
    <xf numFmtId="0" fontId="43" fillId="2" borderId="11" xfId="0" applyFont="1" applyFill="1" applyBorder="1" applyAlignment="1">
      <alignment horizontal="center"/>
    </xf>
    <xf numFmtId="0" fontId="43" fillId="4" borderId="11" xfId="0" applyFont="1" applyFill="1" applyBorder="1" applyAlignment="1">
      <alignment horizontal="center"/>
    </xf>
    <xf numFmtId="0" fontId="81" fillId="13" borderId="11" xfId="0" applyFont="1" applyFill="1" applyBorder="1" applyAlignment="1">
      <alignment horizontal="center" vertical="center" wrapText="1"/>
    </xf>
    <xf numFmtId="0" fontId="53" fillId="2" borderId="11" xfId="0" applyFont="1" applyFill="1" applyBorder="1" applyAlignment="1">
      <alignment horizontal="center"/>
    </xf>
    <xf numFmtId="1" fontId="43" fillId="0" borderId="12" xfId="0" applyNumberFormat="1" applyFont="1" applyFill="1" applyBorder="1" applyAlignment="1">
      <alignment horizontal="center"/>
    </xf>
    <xf numFmtId="1" fontId="43" fillId="0" borderId="14" xfId="0" applyNumberFormat="1" applyFont="1" applyFill="1" applyBorder="1" applyAlignment="1">
      <alignment horizontal="center"/>
    </xf>
    <xf numFmtId="1" fontId="43" fillId="0" borderId="13" xfId="0" applyNumberFormat="1" applyFont="1" applyFill="1" applyBorder="1" applyAlignment="1">
      <alignment horizontal="center"/>
    </xf>
    <xf numFmtId="0" fontId="77" fillId="14" borderId="43" xfId="0" applyFont="1" applyFill="1" applyBorder="1"/>
    <xf numFmtId="9" fontId="86" fillId="12" borderId="11" xfId="6" applyNumberFormat="1" applyFont="1" applyBorder="1" applyAlignment="1">
      <alignment horizontal="center"/>
    </xf>
    <xf numFmtId="0" fontId="32" fillId="0" borderId="10" xfId="0" applyFont="1" applyFill="1" applyBorder="1" applyAlignment="1">
      <alignment horizontal="center"/>
    </xf>
    <xf numFmtId="165" fontId="32" fillId="0" borderId="10" xfId="0" applyNumberFormat="1" applyFont="1" applyFill="1" applyBorder="1" applyAlignment="1">
      <alignment horizontal="center"/>
    </xf>
    <xf numFmtId="0" fontId="50" fillId="0" borderId="11" xfId="4" applyFont="1" applyBorder="1" applyAlignment="1">
      <alignment horizontal="center" wrapText="1"/>
    </xf>
    <xf numFmtId="1" fontId="50" fillId="0" borderId="11" xfId="4" applyNumberFormat="1" applyFont="1" applyBorder="1" applyAlignment="1">
      <alignment horizontal="center" wrapText="1"/>
    </xf>
    <xf numFmtId="0" fontId="50" fillId="0" borderId="11" xfId="4" applyFont="1" applyBorder="1" applyAlignment="1">
      <alignment horizontal="center" wrapText="1"/>
    </xf>
    <xf numFmtId="0" fontId="45" fillId="13" borderId="14" xfId="0" applyFont="1" applyFill="1" applyBorder="1" applyAlignment="1">
      <alignment wrapText="1"/>
    </xf>
    <xf numFmtId="0" fontId="45" fillId="13" borderId="0" xfId="0" applyFont="1" applyFill="1" applyBorder="1" applyAlignment="1">
      <alignment wrapText="1"/>
    </xf>
    <xf numFmtId="0" fontId="81" fillId="14" borderId="10" xfId="0" applyFont="1" applyFill="1" applyBorder="1"/>
    <xf numFmtId="165" fontId="82" fillId="15" borderId="38" xfId="0" applyNumberFormat="1" applyFont="1" applyFill="1" applyBorder="1" applyAlignment="1">
      <alignment horizontal="center"/>
    </xf>
    <xf numFmtId="9" fontId="82" fillId="15" borderId="38" xfId="2" applyFont="1" applyFill="1" applyBorder="1" applyAlignment="1">
      <alignment horizontal="center"/>
    </xf>
    <xf numFmtId="165" fontId="82" fillId="5" borderId="38" xfId="0" applyNumberFormat="1" applyFont="1" applyFill="1" applyBorder="1" applyAlignment="1">
      <alignment horizontal="center"/>
    </xf>
    <xf numFmtId="9" fontId="82" fillId="5" borderId="38" xfId="2" applyNumberFormat="1" applyFont="1" applyFill="1" applyBorder="1" applyAlignment="1">
      <alignment horizontal="center"/>
    </xf>
    <xf numFmtId="165" fontId="82" fillId="15" borderId="38" xfId="2" applyNumberFormat="1" applyFont="1" applyFill="1" applyBorder="1" applyAlignment="1">
      <alignment horizontal="center"/>
    </xf>
    <xf numFmtId="9" fontId="82" fillId="15" borderId="38" xfId="2" applyNumberFormat="1" applyFont="1" applyFill="1" applyBorder="1" applyAlignment="1">
      <alignment horizontal="center"/>
    </xf>
    <xf numFmtId="9" fontId="82" fillId="5" borderId="39" xfId="2" applyNumberFormat="1" applyFont="1" applyFill="1" applyBorder="1" applyAlignment="1">
      <alignment horizontal="center"/>
    </xf>
    <xf numFmtId="0" fontId="81" fillId="14" borderId="0" xfId="0" applyFont="1" applyFill="1" applyBorder="1"/>
    <xf numFmtId="165" fontId="82" fillId="15" borderId="11" xfId="0" applyNumberFormat="1" applyFont="1" applyFill="1" applyBorder="1" applyAlignment="1">
      <alignment horizontal="center"/>
    </xf>
    <xf numFmtId="9" fontId="82" fillId="15" borderId="11" xfId="2" applyFont="1" applyFill="1" applyBorder="1" applyAlignment="1">
      <alignment horizontal="center"/>
    </xf>
    <xf numFmtId="165" fontId="82" fillId="5" borderId="11" xfId="0" applyNumberFormat="1" applyFont="1" applyFill="1" applyBorder="1" applyAlignment="1">
      <alignment horizontal="center"/>
    </xf>
    <xf numFmtId="9" fontId="82" fillId="5" borderId="11" xfId="2" applyNumberFormat="1" applyFont="1" applyFill="1" applyBorder="1" applyAlignment="1">
      <alignment horizontal="center"/>
    </xf>
    <xf numFmtId="9" fontId="82" fillId="15" borderId="11" xfId="2" applyNumberFormat="1" applyFont="1" applyFill="1" applyBorder="1" applyAlignment="1">
      <alignment horizontal="center"/>
    </xf>
    <xf numFmtId="9" fontId="82" fillId="5" borderId="19" xfId="2" applyNumberFormat="1" applyFont="1" applyFill="1" applyBorder="1" applyAlignment="1">
      <alignment horizontal="center"/>
    </xf>
    <xf numFmtId="170" fontId="82" fillId="15" borderId="11" xfId="2" applyNumberFormat="1" applyFont="1" applyFill="1" applyBorder="1" applyAlignment="1">
      <alignment horizontal="center"/>
    </xf>
    <xf numFmtId="2" fontId="82" fillId="15" borderId="11" xfId="0" applyNumberFormat="1" applyFont="1" applyFill="1" applyBorder="1" applyAlignment="1">
      <alignment horizontal="center"/>
    </xf>
    <xf numFmtId="2" fontId="82" fillId="5" borderId="11" xfId="0" applyNumberFormat="1" applyFont="1" applyFill="1" applyBorder="1" applyAlignment="1">
      <alignment horizontal="center"/>
    </xf>
    <xf numFmtId="170" fontId="82" fillId="5" borderId="11" xfId="2" applyNumberFormat="1" applyFont="1" applyFill="1" applyBorder="1" applyAlignment="1">
      <alignment horizontal="center"/>
    </xf>
    <xf numFmtId="170" fontId="82" fillId="5" borderId="19" xfId="2" applyNumberFormat="1" applyFont="1" applyFill="1" applyBorder="1" applyAlignment="1">
      <alignment horizontal="center"/>
    </xf>
    <xf numFmtId="0" fontId="81" fillId="14" borderId="1" xfId="0" applyFont="1" applyFill="1" applyBorder="1"/>
    <xf numFmtId="165" fontId="81" fillId="15" borderId="40" xfId="0" applyNumberFormat="1" applyFont="1" applyFill="1" applyBorder="1" applyAlignment="1">
      <alignment horizontal="center"/>
    </xf>
    <xf numFmtId="9" fontId="81" fillId="15" borderId="40" xfId="2" applyFont="1" applyFill="1" applyBorder="1" applyAlignment="1">
      <alignment horizontal="center"/>
    </xf>
    <xf numFmtId="165" fontId="81" fillId="5" borderId="40" xfId="0" applyNumberFormat="1" applyFont="1" applyFill="1" applyBorder="1" applyAlignment="1">
      <alignment horizontal="center"/>
    </xf>
    <xf numFmtId="9" fontId="81" fillId="5" borderId="40" xfId="2" applyNumberFormat="1" applyFont="1" applyFill="1" applyBorder="1" applyAlignment="1">
      <alignment horizontal="center"/>
    </xf>
    <xf numFmtId="9" fontId="81" fillId="15" borderId="40" xfId="2" applyNumberFormat="1" applyFont="1" applyFill="1" applyBorder="1" applyAlignment="1">
      <alignment horizontal="center"/>
    </xf>
    <xf numFmtId="9" fontId="81" fillId="5" borderId="41" xfId="2" applyNumberFormat="1" applyFont="1" applyFill="1" applyBorder="1" applyAlignment="1">
      <alignment horizontal="center"/>
    </xf>
    <xf numFmtId="0" fontId="81" fillId="13" borderId="13" xfId="0" applyFont="1" applyFill="1" applyBorder="1" applyAlignment="1">
      <alignment horizontal="center" vertical="center" wrapText="1"/>
    </xf>
    <xf numFmtId="165" fontId="32" fillId="0" borderId="12" xfId="0" applyNumberFormat="1" applyFont="1" applyFill="1" applyBorder="1" applyAlignment="1"/>
    <xf numFmtId="165" fontId="32" fillId="0" borderId="10" xfId="0" applyNumberFormat="1" applyFont="1" applyFill="1" applyBorder="1" applyAlignment="1"/>
    <xf numFmtId="0" fontId="32" fillId="0" borderId="12" xfId="0" applyFont="1" applyFill="1" applyBorder="1" applyAlignment="1"/>
    <xf numFmtId="0" fontId="32" fillId="0" borderId="10" xfId="0" applyFont="1" applyFill="1" applyBorder="1" applyAlignment="1"/>
    <xf numFmtId="0" fontId="43" fillId="0" borderId="0" xfId="0" applyFont="1" applyAlignment="1">
      <alignment horizontal="center" wrapText="1"/>
    </xf>
    <xf numFmtId="165" fontId="43" fillId="0" borderId="10" xfId="0" applyNumberFormat="1" applyFont="1" applyFill="1" applyBorder="1" applyAlignment="1">
      <alignment horizontal="center"/>
    </xf>
    <xf numFmtId="165" fontId="43" fillId="0" borderId="0" xfId="0" applyNumberFormat="1" applyFont="1" applyFill="1" applyBorder="1" applyAlignment="1">
      <alignment horizontal="center"/>
    </xf>
    <xf numFmtId="165" fontId="43" fillId="0" borderId="1" xfId="0" applyNumberFormat="1" applyFont="1" applyFill="1" applyBorder="1" applyAlignment="1">
      <alignment horizontal="center"/>
    </xf>
    <xf numFmtId="2" fontId="48" fillId="5" borderId="11" xfId="4" applyNumberFormat="1" applyFont="1" applyFill="1" applyBorder="1" applyAlignment="1">
      <alignment horizontal="center"/>
    </xf>
    <xf numFmtId="2" fontId="51" fillId="5" borderId="11" xfId="4" applyNumberFormat="1" applyFont="1" applyFill="1" applyBorder="1" applyAlignment="1">
      <alignment horizontal="center"/>
    </xf>
    <xf numFmtId="166" fontId="0" fillId="0" borderId="0" xfId="0" applyNumberFormat="1"/>
    <xf numFmtId="165" fontId="0" fillId="0" borderId="0" xfId="0" applyNumberFormat="1"/>
    <xf numFmtId="171" fontId="0" fillId="0" borderId="0" xfId="0" applyNumberFormat="1"/>
    <xf numFmtId="2" fontId="0" fillId="0" borderId="0" xfId="0" applyNumberFormat="1"/>
    <xf numFmtId="2" fontId="43" fillId="4" borderId="11" xfId="0" applyNumberFormat="1" applyFont="1" applyFill="1" applyBorder="1" applyAlignment="1">
      <alignment horizontal="center"/>
    </xf>
    <xf numFmtId="2" fontId="43" fillId="4" borderId="19" xfId="0" applyNumberFormat="1" applyFont="1" applyFill="1" applyBorder="1" applyAlignment="1">
      <alignment horizontal="center"/>
    </xf>
    <xf numFmtId="165" fontId="43" fillId="0" borderId="14" xfId="0" applyNumberFormat="1" applyFont="1" applyFill="1" applyBorder="1" applyAlignment="1">
      <alignment horizontal="center"/>
    </xf>
    <xf numFmtId="0" fontId="50" fillId="0" borderId="11" xfId="4" applyFont="1" applyBorder="1" applyAlignment="1">
      <alignment horizontal="center" wrapText="1"/>
    </xf>
    <xf numFmtId="0" fontId="54" fillId="4" borderId="30" xfId="0" applyFont="1" applyFill="1" applyBorder="1" applyAlignment="1">
      <alignment horizontal="center"/>
    </xf>
    <xf numFmtId="1" fontId="55" fillId="3" borderId="2" xfId="0" applyNumberFormat="1" applyFont="1" applyFill="1" applyBorder="1" applyAlignment="1">
      <alignment horizontal="center"/>
    </xf>
    <xf numFmtId="1" fontId="54" fillId="3" borderId="2" xfId="0" applyNumberFormat="1" applyFont="1" applyFill="1" applyBorder="1" applyAlignment="1">
      <alignment horizontal="center"/>
    </xf>
    <xf numFmtId="1" fontId="43" fillId="8" borderId="11" xfId="0" applyNumberFormat="1" applyFont="1" applyFill="1" applyBorder="1" applyAlignment="1">
      <alignment horizontal="center"/>
    </xf>
    <xf numFmtId="0" fontId="39" fillId="8" borderId="5" xfId="0" applyFont="1" applyFill="1" applyBorder="1" applyAlignment="1">
      <alignment horizontal="center"/>
    </xf>
    <xf numFmtId="0" fontId="39" fillId="8" borderId="7" xfId="0" applyFont="1" applyFill="1" applyBorder="1" applyAlignment="1">
      <alignment horizontal="center"/>
    </xf>
    <xf numFmtId="9" fontId="0" fillId="0" borderId="13" xfId="2" applyFont="1" applyFill="1" applyBorder="1" applyAlignment="1">
      <alignment horizontal="center"/>
    </xf>
    <xf numFmtId="9" fontId="0" fillId="0" borderId="29" xfId="2" applyFont="1" applyFill="1" applyBorder="1" applyAlignment="1">
      <alignment horizontal="center"/>
    </xf>
    <xf numFmtId="2" fontId="87" fillId="4" borderId="11" xfId="0" applyNumberFormat="1" applyFont="1" applyFill="1" applyBorder="1" applyAlignment="1">
      <alignment horizontal="center"/>
    </xf>
    <xf numFmtId="0" fontId="67" fillId="0" borderId="0" xfId="7" applyFont="1" applyAlignment="1"/>
    <xf numFmtId="170" fontId="48" fillId="5" borderId="11" xfId="2" applyNumberFormat="1" applyFont="1" applyFill="1" applyBorder="1" applyAlignment="1">
      <alignment horizontal="center"/>
    </xf>
    <xf numFmtId="9" fontId="48" fillId="5" borderId="11" xfId="2" applyNumberFormat="1" applyFont="1" applyFill="1" applyBorder="1" applyAlignment="1">
      <alignment horizontal="center"/>
    </xf>
    <xf numFmtId="165" fontId="31" fillId="0" borderId="0" xfId="4" applyNumberFormat="1"/>
    <xf numFmtId="165" fontId="43" fillId="0" borderId="15" xfId="0" applyNumberFormat="1" applyFont="1" applyFill="1" applyBorder="1" applyAlignment="1">
      <alignment horizontal="center"/>
    </xf>
    <xf numFmtId="165" fontId="43" fillId="0" borderId="13" xfId="0" applyNumberFormat="1" applyFont="1" applyFill="1" applyBorder="1" applyAlignment="1">
      <alignment horizontal="center"/>
    </xf>
    <xf numFmtId="165" fontId="43" fillId="0" borderId="29" xfId="0" applyNumberFormat="1" applyFont="1" applyFill="1" applyBorder="1" applyAlignment="1">
      <alignment horizontal="center"/>
    </xf>
    <xf numFmtId="165" fontId="43" fillId="0" borderId="12" xfId="0" applyNumberFormat="1" applyFont="1" applyFill="1" applyBorder="1" applyAlignment="1">
      <alignment horizontal="center"/>
    </xf>
    <xf numFmtId="165" fontId="43" fillId="0" borderId="28" xfId="0" applyNumberFormat="1" applyFont="1" applyFill="1" applyBorder="1" applyAlignment="1">
      <alignment horizontal="center"/>
    </xf>
    <xf numFmtId="166" fontId="43" fillId="0" borderId="11" xfId="0" applyNumberFormat="1" applyFont="1" applyBorder="1" applyAlignment="1">
      <alignment horizontal="center"/>
    </xf>
    <xf numFmtId="9" fontId="0" fillId="0" borderId="14" xfId="2" applyFont="1" applyFill="1" applyBorder="1" applyAlignment="1">
      <alignment horizontal="center"/>
    </xf>
    <xf numFmtId="9" fontId="0" fillId="0" borderId="0" xfId="2" applyFont="1" applyFill="1" applyBorder="1" applyAlignment="1">
      <alignment horizontal="center"/>
    </xf>
    <xf numFmtId="9" fontId="0" fillId="0" borderId="15" xfId="2" applyFont="1" applyFill="1" applyBorder="1" applyAlignment="1">
      <alignment horizontal="center"/>
    </xf>
    <xf numFmtId="0" fontId="50" fillId="0" borderId="11" xfId="4" applyFont="1" applyBorder="1" applyAlignment="1">
      <alignment horizontal="center" wrapText="1"/>
    </xf>
    <xf numFmtId="1" fontId="50" fillId="0" borderId="11" xfId="4" applyNumberFormat="1" applyFont="1" applyBorder="1" applyAlignment="1">
      <alignment horizontal="center" wrapText="1"/>
    </xf>
    <xf numFmtId="2" fontId="50" fillId="0" borderId="11" xfId="4" applyNumberFormat="1" applyFont="1" applyBorder="1" applyAlignment="1">
      <alignment horizontal="center" wrapText="1"/>
    </xf>
    <xf numFmtId="0" fontId="48" fillId="0" borderId="3" xfId="4" applyFont="1" applyBorder="1" applyAlignment="1">
      <alignment horizontal="center" wrapText="1"/>
    </xf>
    <xf numFmtId="1" fontId="47" fillId="0" borderId="0" xfId="4" applyNumberFormat="1" applyFont="1" applyAlignment="1">
      <alignment horizontal="center"/>
    </xf>
    <xf numFmtId="169" fontId="43" fillId="2" borderId="6" xfId="3" applyNumberFormat="1" applyFont="1" applyFill="1" applyBorder="1" applyAlignment="1">
      <alignment horizontal="center"/>
    </xf>
    <xf numFmtId="169" fontId="43" fillId="2" borderId="7" xfId="3" applyNumberFormat="1" applyFont="1" applyFill="1" applyBorder="1" applyAlignment="1">
      <alignment horizontal="center"/>
    </xf>
    <xf numFmtId="169" fontId="53" fillId="4" borderId="7" xfId="3" applyNumberFormat="1" applyFont="1" applyFill="1" applyBorder="1" applyAlignment="1">
      <alignment horizontal="center"/>
    </xf>
    <xf numFmtId="169" fontId="53" fillId="4" borderId="44" xfId="3" applyNumberFormat="1" applyFont="1" applyFill="1" applyBorder="1" applyAlignment="1">
      <alignment horizontal="center"/>
    </xf>
    <xf numFmtId="169" fontId="53" fillId="4" borderId="11" xfId="3" applyNumberFormat="1" applyFont="1" applyFill="1" applyBorder="1" applyAlignment="1">
      <alignment horizontal="center"/>
    </xf>
    <xf numFmtId="0" fontId="53" fillId="2" borderId="12" xfId="0" applyFont="1" applyFill="1" applyBorder="1" applyAlignment="1">
      <alignment horizontal="center"/>
    </xf>
    <xf numFmtId="169" fontId="43" fillId="2" borderId="30" xfId="3" applyNumberFormat="1" applyFont="1" applyFill="1" applyBorder="1" applyAlignment="1">
      <alignment horizontal="center"/>
    </xf>
    <xf numFmtId="169" fontId="43" fillId="2" borderId="46" xfId="3" applyNumberFormat="1" applyFont="1" applyFill="1" applyBorder="1" applyAlignment="1">
      <alignment horizontal="center"/>
    </xf>
    <xf numFmtId="172" fontId="48" fillId="0" borderId="11" xfId="4" applyNumberFormat="1" applyFont="1" applyBorder="1" applyAlignment="1">
      <alignment horizontal="center"/>
    </xf>
    <xf numFmtId="171" fontId="48" fillId="0" borderId="11" xfId="4" applyNumberFormat="1" applyFont="1" applyBorder="1" applyAlignment="1">
      <alignment horizontal="center"/>
    </xf>
    <xf numFmtId="170" fontId="48" fillId="5" borderId="11" xfId="4" applyNumberFormat="1" applyFont="1" applyFill="1" applyBorder="1" applyAlignment="1">
      <alignment horizontal="center"/>
    </xf>
    <xf numFmtId="1" fontId="43" fillId="3" borderId="11" xfId="0" applyNumberFormat="1" applyFont="1" applyFill="1" applyBorder="1" applyAlignment="1">
      <alignment horizontal="center"/>
    </xf>
    <xf numFmtId="169" fontId="0" fillId="0" borderId="0" xfId="0" applyNumberFormat="1"/>
    <xf numFmtId="170" fontId="52" fillId="9" borderId="11" xfId="2" applyNumberFormat="1" applyFont="1" applyFill="1" applyBorder="1" applyAlignment="1">
      <alignment horizontal="center"/>
    </xf>
    <xf numFmtId="169" fontId="43" fillId="2" borderId="0" xfId="3" applyNumberFormat="1" applyFont="1" applyFill="1" applyBorder="1" applyAlignment="1">
      <alignment horizontal="center"/>
    </xf>
    <xf numFmtId="169" fontId="53" fillId="4" borderId="9" xfId="3" applyNumberFormat="1" applyFont="1" applyFill="1" applyBorder="1" applyAlignment="1">
      <alignment horizontal="center"/>
    </xf>
    <xf numFmtId="0" fontId="46" fillId="8" borderId="35" xfId="0" applyFont="1" applyFill="1" applyBorder="1" applyAlignment="1">
      <alignment horizontal="center"/>
    </xf>
    <xf numFmtId="166" fontId="48" fillId="5" borderId="11" xfId="4" applyNumberFormat="1" applyFont="1" applyFill="1" applyBorder="1" applyAlignment="1">
      <alignment horizontal="center"/>
    </xf>
    <xf numFmtId="2" fontId="66" fillId="4" borderId="11" xfId="2" applyNumberFormat="1" applyFont="1" applyFill="1" applyBorder="1" applyAlignment="1">
      <alignment horizontal="center"/>
    </xf>
    <xf numFmtId="2" fontId="43" fillId="0" borderId="0" xfId="0" applyNumberFormat="1" applyFont="1" applyFill="1" applyBorder="1" applyAlignment="1">
      <alignment horizontal="center"/>
    </xf>
    <xf numFmtId="9" fontId="0" fillId="0" borderId="0" xfId="2" applyFont="1"/>
    <xf numFmtId="0" fontId="50" fillId="0" borderId="11" xfId="4" applyFont="1" applyBorder="1" applyAlignment="1">
      <alignment horizontal="center" wrapText="1"/>
    </xf>
    <xf numFmtId="1" fontId="50" fillId="0" borderId="11" xfId="4" applyNumberFormat="1" applyFont="1" applyBorder="1" applyAlignment="1">
      <alignment horizontal="center" wrapText="1"/>
    </xf>
    <xf numFmtId="2" fontId="50" fillId="0" borderId="11" xfId="4" applyNumberFormat="1" applyFont="1" applyBorder="1" applyAlignment="1">
      <alignment horizontal="center" wrapText="1"/>
    </xf>
    <xf numFmtId="166" fontId="48" fillId="0" borderId="11" xfId="4" applyNumberFormat="1" applyFont="1" applyBorder="1" applyAlignment="1">
      <alignment horizontal="center"/>
    </xf>
    <xf numFmtId="0" fontId="75" fillId="0" borderId="0" xfId="0" applyFont="1" applyFill="1" applyBorder="1" applyAlignment="1">
      <alignment vertical="center"/>
    </xf>
    <xf numFmtId="0" fontId="79" fillId="10" borderId="54" xfId="0" applyFont="1" applyFill="1" applyBorder="1" applyAlignment="1">
      <alignment horizontal="center" vertical="top" wrapText="1"/>
    </xf>
    <xf numFmtId="0" fontId="81" fillId="13" borderId="14" xfId="0" applyFont="1" applyFill="1" applyBorder="1" applyAlignment="1">
      <alignment horizontal="center" vertical="center" wrapText="1"/>
    </xf>
    <xf numFmtId="165" fontId="0" fillId="0" borderId="0" xfId="2" applyNumberFormat="1" applyFont="1"/>
    <xf numFmtId="165" fontId="82" fillId="15" borderId="27" xfId="0" applyNumberFormat="1" applyFont="1" applyFill="1" applyBorder="1" applyAlignment="1">
      <alignment horizontal="center"/>
    </xf>
    <xf numFmtId="9" fontId="82" fillId="15" borderId="27" xfId="2" applyFont="1" applyFill="1" applyBorder="1" applyAlignment="1">
      <alignment horizontal="center"/>
    </xf>
    <xf numFmtId="165" fontId="82" fillId="5" borderId="27" xfId="0" applyNumberFormat="1" applyFont="1" applyFill="1" applyBorder="1" applyAlignment="1">
      <alignment horizontal="center"/>
    </xf>
    <xf numFmtId="9" fontId="82" fillId="5" borderId="27" xfId="2" applyNumberFormat="1" applyFont="1" applyFill="1" applyBorder="1" applyAlignment="1">
      <alignment horizontal="center"/>
    </xf>
    <xf numFmtId="9" fontId="82" fillId="15" borderId="27" xfId="2" applyNumberFormat="1" applyFont="1" applyFill="1" applyBorder="1" applyAlignment="1">
      <alignment horizontal="center"/>
    </xf>
    <xf numFmtId="9" fontId="82" fillId="5" borderId="55" xfId="2" applyNumberFormat="1" applyFont="1" applyFill="1" applyBorder="1" applyAlignment="1">
      <alignment horizontal="center"/>
    </xf>
    <xf numFmtId="0" fontId="32" fillId="0" borderId="0" xfId="0" applyFont="1" applyBorder="1" applyAlignment="1">
      <alignment vertical="center" wrapText="1"/>
    </xf>
    <xf numFmtId="0" fontId="46" fillId="8" borderId="2" xfId="0" applyFont="1" applyFill="1" applyBorder="1" applyAlignment="1">
      <alignment horizontal="center"/>
    </xf>
    <xf numFmtId="0" fontId="94" fillId="0" borderId="0" xfId="4" applyFont="1"/>
    <xf numFmtId="165" fontId="96" fillId="12" borderId="11" xfId="6" applyNumberFormat="1" applyFont="1" applyBorder="1" applyAlignment="1">
      <alignment horizontal="center"/>
    </xf>
    <xf numFmtId="165" fontId="43" fillId="0" borderId="27" xfId="0" applyNumberFormat="1" applyFont="1" applyFill="1" applyBorder="1" applyAlignment="1">
      <alignment horizontal="center"/>
    </xf>
    <xf numFmtId="174" fontId="53" fillId="4" borderId="11" xfId="3" applyNumberFormat="1" applyFont="1" applyFill="1" applyBorder="1" applyAlignment="1">
      <alignment horizontal="center"/>
    </xf>
    <xf numFmtId="174" fontId="53" fillId="4" borderId="9" xfId="3" applyNumberFormat="1" applyFont="1" applyFill="1" applyBorder="1" applyAlignment="1">
      <alignment horizontal="center"/>
    </xf>
    <xf numFmtId="0" fontId="98" fillId="0" borderId="11" xfId="0" applyFont="1" applyBorder="1" applyAlignment="1">
      <alignment horizontal="center"/>
    </xf>
    <xf numFmtId="0" fontId="0" fillId="0" borderId="0" xfId="0" applyBorder="1"/>
    <xf numFmtId="0" fontId="0" fillId="0" borderId="0" xfId="0" applyBorder="1" applyAlignment="1">
      <alignment wrapText="1"/>
    </xf>
    <xf numFmtId="2" fontId="32" fillId="0" borderId="0" xfId="0" applyNumberFormat="1" applyFont="1" applyFill="1" applyBorder="1"/>
    <xf numFmtId="0" fontId="0" fillId="0" borderId="5" xfId="0" applyBorder="1"/>
    <xf numFmtId="175" fontId="99" fillId="0" borderId="0" xfId="0" applyNumberFormat="1" applyFont="1" applyBorder="1"/>
    <xf numFmtId="175" fontId="32" fillId="0" borderId="0" xfId="0" applyNumberFormat="1" applyFont="1" applyBorder="1"/>
    <xf numFmtId="10" fontId="48" fillId="5" borderId="11" xfId="2" applyNumberFormat="1" applyFont="1" applyFill="1" applyBorder="1" applyAlignment="1">
      <alignment horizontal="center"/>
    </xf>
    <xf numFmtId="169" fontId="53" fillId="4" borderId="5" xfId="3" applyNumberFormat="1" applyFont="1" applyFill="1" applyBorder="1" applyAlignment="1">
      <alignment horizontal="center"/>
    </xf>
    <xf numFmtId="0" fontId="48" fillId="0" borderId="11" xfId="17" applyFont="1" applyBorder="1" applyAlignment="1">
      <alignment horizontal="center"/>
    </xf>
    <xf numFmtId="0" fontId="48" fillId="0" borderId="11" xfId="17" applyFont="1" applyBorder="1" applyAlignment="1">
      <alignment horizontal="center" wrapText="1"/>
    </xf>
    <xf numFmtId="0" fontId="50" fillId="0" borderId="11" xfId="17" applyFont="1" applyBorder="1" applyAlignment="1">
      <alignment horizontal="center" wrapText="1"/>
    </xf>
    <xf numFmtId="1" fontId="50" fillId="0" borderId="11" xfId="17" applyNumberFormat="1" applyFont="1" applyBorder="1" applyAlignment="1">
      <alignment horizontal="center" wrapText="1"/>
    </xf>
    <xf numFmtId="0" fontId="47" fillId="0" borderId="0" xfId="17" applyFont="1"/>
    <xf numFmtId="1" fontId="48" fillId="0" borderId="11" xfId="17" applyNumberFormat="1" applyFont="1" applyBorder="1" applyAlignment="1">
      <alignment horizontal="center" wrapText="1"/>
    </xf>
    <xf numFmtId="2" fontId="50" fillId="0" borderId="11" xfId="17" applyNumberFormat="1" applyFont="1" applyBorder="1" applyAlignment="1">
      <alignment horizontal="center" wrapText="1"/>
    </xf>
    <xf numFmtId="0" fontId="48" fillId="0" borderId="11" xfId="17" applyFont="1" applyBorder="1" applyAlignment="1">
      <alignment wrapText="1"/>
    </xf>
    <xf numFmtId="0" fontId="47" fillId="0" borderId="0" xfId="17" applyFont="1" applyAlignment="1">
      <alignment wrapText="1"/>
    </xf>
    <xf numFmtId="1" fontId="48" fillId="0" borderId="11" xfId="17" applyNumberFormat="1" applyFont="1" applyBorder="1" applyAlignment="1">
      <alignment horizontal="center"/>
    </xf>
    <xf numFmtId="165" fontId="48" fillId="0" borderId="11" xfId="17" applyNumberFormat="1" applyFont="1" applyBorder="1" applyAlignment="1">
      <alignment horizontal="center"/>
    </xf>
    <xf numFmtId="165" fontId="48" fillId="5" borderId="11" xfId="17" applyNumberFormat="1" applyFont="1" applyFill="1" applyBorder="1" applyAlignment="1">
      <alignment horizontal="center"/>
    </xf>
    <xf numFmtId="2" fontId="48" fillId="5" borderId="11" xfId="17" applyNumberFormat="1" applyFont="1" applyFill="1" applyBorder="1" applyAlignment="1">
      <alignment horizontal="center"/>
    </xf>
    <xf numFmtId="1" fontId="48" fillId="5" borderId="11" xfId="17" applyNumberFormat="1" applyFont="1" applyFill="1" applyBorder="1" applyAlignment="1">
      <alignment horizontal="center"/>
    </xf>
    <xf numFmtId="9" fontId="48" fillId="0" borderId="11" xfId="18" applyFont="1" applyBorder="1" applyAlignment="1">
      <alignment horizontal="center"/>
    </xf>
    <xf numFmtId="170" fontId="48" fillId="5" borderId="11" xfId="17" applyNumberFormat="1" applyFont="1" applyFill="1" applyBorder="1" applyAlignment="1">
      <alignment horizontal="center"/>
    </xf>
    <xf numFmtId="1" fontId="49" fillId="6" borderId="11" xfId="17" applyNumberFormat="1" applyFont="1" applyFill="1" applyBorder="1" applyAlignment="1">
      <alignment horizontal="center"/>
    </xf>
    <xf numFmtId="0" fontId="48" fillId="0" borderId="11" xfId="17" applyFont="1" applyBorder="1"/>
    <xf numFmtId="0" fontId="27" fillId="0" borderId="0" xfId="17"/>
    <xf numFmtId="2" fontId="27" fillId="0" borderId="0" xfId="17" applyNumberFormat="1"/>
    <xf numFmtId="1" fontId="27" fillId="0" borderId="0" xfId="17" applyNumberFormat="1"/>
    <xf numFmtId="0" fontId="26" fillId="0" borderId="0" xfId="4" applyFont="1"/>
    <xf numFmtId="10" fontId="52" fillId="9" borderId="11" xfId="2" applyNumberFormat="1" applyFont="1" applyFill="1" applyBorder="1" applyAlignment="1">
      <alignment horizontal="center"/>
    </xf>
    <xf numFmtId="0" fontId="100" fillId="0" borderId="0" xfId="7" applyFont="1"/>
    <xf numFmtId="0" fontId="25" fillId="0" borderId="0" xfId="7" applyFont="1"/>
    <xf numFmtId="2" fontId="43" fillId="2" borderId="11" xfId="2" applyNumberFormat="1" applyFont="1" applyFill="1" applyBorder="1" applyAlignment="1">
      <alignment horizontal="center"/>
    </xf>
    <xf numFmtId="0" fontId="101" fillId="0" borderId="56" xfId="16" applyFont="1" applyFill="1" applyBorder="1" applyAlignment="1">
      <alignment wrapText="1"/>
    </xf>
    <xf numFmtId="2" fontId="93" fillId="0" borderId="11" xfId="4" applyNumberFormat="1" applyFont="1" applyFill="1" applyBorder="1" applyAlignment="1">
      <alignment horizontal="center"/>
    </xf>
    <xf numFmtId="2" fontId="93" fillId="0" borderId="11" xfId="0" applyNumberFormat="1" applyFont="1" applyFill="1" applyBorder="1" applyAlignment="1">
      <alignment horizontal="center" vertical="top" wrapText="1"/>
    </xf>
    <xf numFmtId="2" fontId="31" fillId="5" borderId="11" xfId="4" applyNumberFormat="1" applyFill="1" applyBorder="1" applyAlignment="1">
      <alignment horizontal="center"/>
    </xf>
    <xf numFmtId="167" fontId="34" fillId="0" borderId="0" xfId="3" applyNumberFormat="1" applyFont="1" applyFill="1"/>
    <xf numFmtId="176" fontId="52" fillId="9" borderId="11" xfId="2" applyNumberFormat="1" applyFont="1" applyFill="1" applyBorder="1" applyAlignment="1">
      <alignment horizontal="center"/>
    </xf>
    <xf numFmtId="165" fontId="53" fillId="0" borderId="0" xfId="0" applyNumberFormat="1" applyFont="1" applyFill="1" applyBorder="1" applyAlignment="1">
      <alignment horizontal="center"/>
    </xf>
    <xf numFmtId="0" fontId="0" fillId="0" borderId="0" xfId="0" applyFill="1" applyBorder="1"/>
    <xf numFmtId="166" fontId="0" fillId="0" borderId="0" xfId="0" applyNumberFormat="1" applyFill="1" applyBorder="1"/>
    <xf numFmtId="165" fontId="0" fillId="0" borderId="0" xfId="0" applyNumberFormat="1" applyFill="1" applyBorder="1"/>
    <xf numFmtId="0" fontId="43" fillId="0" borderId="0" xfId="0" applyFont="1" applyFill="1" applyBorder="1" applyAlignment="1">
      <alignment horizontal="center"/>
    </xf>
    <xf numFmtId="0" fontId="77" fillId="0" borderId="0" xfId="0" applyFont="1" applyFill="1" applyBorder="1"/>
    <xf numFmtId="171" fontId="66" fillId="0" borderId="0" xfId="2" applyNumberFormat="1" applyFont="1" applyFill="1" applyBorder="1" applyAlignment="1">
      <alignment horizontal="center"/>
    </xf>
    <xf numFmtId="171" fontId="0" fillId="0" borderId="0" xfId="0" applyNumberFormat="1" applyFill="1" applyBorder="1"/>
    <xf numFmtId="171" fontId="66" fillId="0" borderId="0" xfId="0" applyNumberFormat="1" applyFont="1" applyFill="1" applyBorder="1" applyAlignment="1">
      <alignment horizontal="center"/>
    </xf>
    <xf numFmtId="0" fontId="32" fillId="0" borderId="0" xfId="0" applyFont="1" applyBorder="1"/>
    <xf numFmtId="2" fontId="0" fillId="0" borderId="0" xfId="2" quotePrefix="1" applyNumberFormat="1" applyFont="1" applyBorder="1"/>
    <xf numFmtId="171" fontId="0" fillId="0" borderId="0" xfId="0" applyNumberFormat="1" applyBorder="1"/>
    <xf numFmtId="171" fontId="0" fillId="0" borderId="0" xfId="2" applyNumberFormat="1" applyFont="1" applyBorder="1"/>
    <xf numFmtId="165" fontId="0" fillId="0" borderId="0" xfId="0" applyNumberFormat="1" applyBorder="1"/>
    <xf numFmtId="165" fontId="0" fillId="0" borderId="5" xfId="0" applyNumberFormat="1" applyBorder="1"/>
    <xf numFmtId="0" fontId="0" fillId="0" borderId="4" xfId="0" applyBorder="1"/>
    <xf numFmtId="0" fontId="32" fillId="0" borderId="5" xfId="0" applyFont="1" applyBorder="1"/>
    <xf numFmtId="2" fontId="23" fillId="0" borderId="0" xfId="13" applyNumberFormat="1" applyFont="1"/>
    <xf numFmtId="0" fontId="23" fillId="0" borderId="0" xfId="13" applyFont="1"/>
    <xf numFmtId="0" fontId="0" fillId="0" borderId="0" xfId="0"/>
    <xf numFmtId="0" fontId="32" fillId="0" borderId="0" xfId="0" applyFont="1"/>
    <xf numFmtId="171" fontId="48" fillId="5" borderId="11" xfId="4" applyNumberFormat="1" applyFont="1" applyFill="1" applyBorder="1" applyAlignment="1">
      <alignment horizontal="center"/>
    </xf>
    <xf numFmtId="171" fontId="51" fillId="5" borderId="11" xfId="4" applyNumberFormat="1" applyFont="1" applyFill="1" applyBorder="1" applyAlignment="1">
      <alignment horizontal="center"/>
    </xf>
    <xf numFmtId="172" fontId="48" fillId="5" borderId="11" xfId="4" applyNumberFormat="1" applyFont="1" applyFill="1" applyBorder="1" applyAlignment="1">
      <alignment horizontal="center"/>
    </xf>
    <xf numFmtId="165" fontId="32" fillId="0" borderId="12" xfId="0" applyNumberFormat="1" applyFont="1" applyFill="1" applyBorder="1" applyAlignment="1">
      <alignment horizontal="center"/>
    </xf>
    <xf numFmtId="1" fontId="43" fillId="3" borderId="11" xfId="0" applyNumberFormat="1" applyFont="1" applyFill="1" applyBorder="1" applyAlignment="1">
      <alignment horizontal="center"/>
    </xf>
    <xf numFmtId="1" fontId="43" fillId="0" borderId="0" xfId="0" applyNumberFormat="1" applyFont="1" applyFill="1" applyBorder="1" applyAlignment="1">
      <alignment horizontal="center"/>
    </xf>
    <xf numFmtId="2" fontId="48" fillId="0" borderId="11" xfId="4" applyNumberFormat="1" applyFont="1" applyBorder="1" applyAlignment="1">
      <alignment horizontal="center" wrapText="1"/>
    </xf>
    <xf numFmtId="171" fontId="48" fillId="0" borderId="11" xfId="4" applyNumberFormat="1" applyFont="1" applyBorder="1" applyAlignment="1">
      <alignment horizontal="center" wrapText="1"/>
    </xf>
    <xf numFmtId="171" fontId="50" fillId="0" borderId="11" xfId="4" applyNumberFormat="1" applyFont="1" applyBorder="1" applyAlignment="1">
      <alignment horizontal="center" wrapText="1"/>
    </xf>
    <xf numFmtId="171" fontId="31" fillId="0" borderId="0" xfId="4" applyNumberFormat="1"/>
    <xf numFmtId="2" fontId="43" fillId="0" borderId="0" xfId="0" applyNumberFormat="1" applyFont="1" applyAlignment="1">
      <alignment horizontal="center"/>
    </xf>
    <xf numFmtId="2" fontId="42" fillId="0" borderId="0" xfId="0" applyNumberFormat="1" applyFont="1" applyAlignment="1">
      <alignment horizontal="center"/>
    </xf>
    <xf numFmtId="2" fontId="0" fillId="0" borderId="29" xfId="2" applyNumberFormat="1" applyFont="1" applyFill="1" applyBorder="1" applyAlignment="1">
      <alignment horizontal="center"/>
    </xf>
    <xf numFmtId="2" fontId="43" fillId="0" borderId="15" xfId="0" applyNumberFormat="1" applyFont="1" applyFill="1" applyBorder="1" applyAlignment="1">
      <alignment horizontal="center"/>
    </xf>
    <xf numFmtId="2" fontId="43" fillId="0" borderId="28" xfId="0" applyNumberFormat="1" applyFont="1" applyFill="1" applyBorder="1" applyAlignment="1">
      <alignment horizontal="center"/>
    </xf>
    <xf numFmtId="2" fontId="43" fillId="0" borderId="29" xfId="0" applyNumberFormat="1" applyFont="1" applyFill="1" applyBorder="1" applyAlignment="1">
      <alignment horizontal="center"/>
    </xf>
    <xf numFmtId="2" fontId="39" fillId="0" borderId="0" xfId="0" applyNumberFormat="1" applyFont="1" applyAlignment="1">
      <alignment horizontal="center"/>
    </xf>
    <xf numFmtId="2" fontId="39" fillId="0" borderId="0" xfId="0" applyNumberFormat="1" applyFont="1" applyFill="1" applyAlignment="1">
      <alignment horizontal="center"/>
    </xf>
    <xf numFmtId="2" fontId="43" fillId="3" borderId="11" xfId="0" applyNumberFormat="1" applyFont="1" applyFill="1" applyBorder="1" applyAlignment="1">
      <alignment horizontal="center"/>
    </xf>
    <xf numFmtId="2" fontId="43" fillId="0" borderId="11" xfId="0" applyNumberFormat="1" applyFont="1" applyFill="1" applyBorder="1" applyAlignment="1">
      <alignment horizontal="center"/>
    </xf>
    <xf numFmtId="2" fontId="43" fillId="0" borderId="27" xfId="0" applyNumberFormat="1" applyFont="1" applyFill="1" applyBorder="1" applyAlignment="1">
      <alignment horizontal="center"/>
    </xf>
    <xf numFmtId="2" fontId="32" fillId="0" borderId="10" xfId="0" applyNumberFormat="1" applyFont="1" applyFill="1" applyBorder="1" applyAlignment="1">
      <alignment horizontal="center"/>
    </xf>
    <xf numFmtId="2" fontId="0" fillId="0" borderId="1" xfId="0" applyNumberFormat="1" applyFill="1" applyBorder="1" applyAlignment="1">
      <alignment horizontal="center"/>
    </xf>
    <xf numFmtId="2" fontId="43" fillId="0" borderId="10" xfId="0" applyNumberFormat="1" applyFont="1" applyFill="1" applyBorder="1" applyAlignment="1">
      <alignment horizontal="center"/>
    </xf>
    <xf numFmtId="165" fontId="43" fillId="0" borderId="0" xfId="0" applyNumberFormat="1" applyFont="1" applyAlignment="1">
      <alignment horizontal="center"/>
    </xf>
    <xf numFmtId="1" fontId="39" fillId="0" borderId="0" xfId="0" applyNumberFormat="1" applyFont="1" applyFill="1" applyAlignment="1">
      <alignment horizontal="center"/>
    </xf>
    <xf numFmtId="1" fontId="32" fillId="0" borderId="10" xfId="0" applyNumberFormat="1" applyFont="1" applyFill="1" applyBorder="1" applyAlignment="1">
      <alignment horizontal="center"/>
    </xf>
    <xf numFmtId="1" fontId="0" fillId="0" borderId="1" xfId="0" applyNumberFormat="1" applyFill="1" applyBorder="1" applyAlignment="1">
      <alignment horizontal="center"/>
    </xf>
    <xf numFmtId="2" fontId="43" fillId="0" borderId="1" xfId="0" applyNumberFormat="1" applyFont="1" applyFill="1" applyBorder="1" applyAlignment="1">
      <alignment horizontal="center"/>
    </xf>
    <xf numFmtId="1" fontId="43" fillId="0" borderId="0" xfId="0" applyNumberFormat="1" applyFont="1" applyBorder="1" applyAlignment="1">
      <alignment horizontal="center"/>
    </xf>
    <xf numFmtId="165" fontId="42" fillId="0" borderId="0" xfId="0" applyNumberFormat="1" applyFont="1" applyAlignment="1">
      <alignment horizontal="center"/>
    </xf>
    <xf numFmtId="165" fontId="39" fillId="0" borderId="0" xfId="0" applyNumberFormat="1" applyFont="1" applyAlignment="1">
      <alignment horizontal="center"/>
    </xf>
    <xf numFmtId="0" fontId="43" fillId="0" borderId="0" xfId="0" applyFont="1" applyBorder="1" applyAlignment="1">
      <alignment horizontal="center"/>
    </xf>
    <xf numFmtId="165" fontId="63" fillId="4" borderId="27" xfId="0" applyNumberFormat="1" applyFont="1" applyFill="1" applyBorder="1" applyAlignment="1">
      <alignment horizontal="center"/>
    </xf>
    <xf numFmtId="0" fontId="39" fillId="0" borderId="10" xfId="0" applyFont="1" applyBorder="1" applyAlignment="1">
      <alignment horizontal="center"/>
    </xf>
    <xf numFmtId="0" fontId="43" fillId="0" borderId="10" xfId="0" applyFont="1" applyBorder="1" applyAlignment="1">
      <alignment horizontal="center"/>
    </xf>
    <xf numFmtId="0" fontId="43" fillId="0" borderId="28" xfId="0" applyFont="1" applyBorder="1" applyAlignment="1">
      <alignment horizontal="center"/>
    </xf>
    <xf numFmtId="9" fontId="0" fillId="0" borderId="1" xfId="2" applyNumberFormat="1" applyFont="1" applyFill="1" applyBorder="1" applyAlignment="1">
      <alignment horizontal="center"/>
    </xf>
    <xf numFmtId="165" fontId="43" fillId="0" borderId="10" xfId="0" applyNumberFormat="1" applyFont="1" applyBorder="1" applyAlignment="1">
      <alignment horizontal="center"/>
    </xf>
    <xf numFmtId="9" fontId="32" fillId="0" borderId="13" xfId="2" applyFont="1" applyFill="1" applyBorder="1" applyAlignment="1">
      <alignment horizontal="center"/>
    </xf>
    <xf numFmtId="0" fontId="102" fillId="0" borderId="11" xfId="4" applyFont="1" applyBorder="1" applyAlignment="1">
      <alignment horizontal="center"/>
    </xf>
    <xf numFmtId="0" fontId="102" fillId="0" borderId="11" xfId="4" applyFont="1" applyBorder="1" applyAlignment="1">
      <alignment horizontal="center" wrapText="1"/>
    </xf>
    <xf numFmtId="0" fontId="104" fillId="0" borderId="11" xfId="4" applyFont="1" applyBorder="1" applyAlignment="1">
      <alignment horizontal="center" wrapText="1"/>
    </xf>
    <xf numFmtId="1" fontId="104" fillId="0" borderId="11" xfId="4" applyNumberFormat="1" applyFont="1" applyBorder="1" applyAlignment="1">
      <alignment horizontal="center" wrapText="1"/>
    </xf>
    <xf numFmtId="1" fontId="102" fillId="0" borderId="11" xfId="4" applyNumberFormat="1" applyFont="1" applyBorder="1" applyAlignment="1">
      <alignment horizontal="center" wrapText="1"/>
    </xf>
    <xf numFmtId="2" fontId="104" fillId="0" borderId="11" xfId="4" applyNumberFormat="1" applyFont="1" applyBorder="1" applyAlignment="1">
      <alignment horizontal="center" wrapText="1"/>
    </xf>
    <xf numFmtId="0" fontId="102" fillId="0" borderId="11" xfId="4" applyFont="1" applyBorder="1" applyAlignment="1">
      <alignment wrapText="1"/>
    </xf>
    <xf numFmtId="0" fontId="94" fillId="0" borderId="0" xfId="4" applyFont="1" applyAlignment="1">
      <alignment wrapText="1"/>
    </xf>
    <xf numFmtId="1" fontId="102" fillId="0" borderId="11" xfId="4" applyNumberFormat="1" applyFont="1" applyBorder="1" applyAlignment="1">
      <alignment horizontal="center"/>
    </xf>
    <xf numFmtId="165" fontId="102" fillId="0" borderId="11" xfId="4" applyNumberFormat="1" applyFont="1" applyBorder="1" applyAlignment="1">
      <alignment horizontal="center"/>
    </xf>
    <xf numFmtId="165" fontId="102" fillId="5" borderId="11" xfId="4" applyNumberFormat="1" applyFont="1" applyFill="1" applyBorder="1" applyAlignment="1">
      <alignment horizontal="center"/>
    </xf>
    <xf numFmtId="2" fontId="102" fillId="5" borderId="11" xfId="4" applyNumberFormat="1" applyFont="1" applyFill="1" applyBorder="1" applyAlignment="1">
      <alignment horizontal="center"/>
    </xf>
    <xf numFmtId="1" fontId="102" fillId="5" borderId="11" xfId="4" applyNumberFormat="1" applyFont="1" applyFill="1" applyBorder="1" applyAlignment="1">
      <alignment horizontal="center"/>
    </xf>
    <xf numFmtId="170" fontId="102" fillId="5" borderId="11" xfId="2" applyNumberFormat="1" applyFont="1" applyFill="1" applyBorder="1" applyAlignment="1">
      <alignment horizontal="center"/>
    </xf>
    <xf numFmtId="9" fontId="102" fillId="0" borderId="11" xfId="5" applyFont="1" applyBorder="1" applyAlignment="1">
      <alignment horizontal="center"/>
    </xf>
    <xf numFmtId="9" fontId="102" fillId="5" borderId="11" xfId="2" applyFont="1" applyFill="1" applyBorder="1" applyAlignment="1">
      <alignment horizontal="center"/>
    </xf>
    <xf numFmtId="2" fontId="102" fillId="0" borderId="11" xfId="4" applyNumberFormat="1" applyFont="1" applyBorder="1" applyAlignment="1">
      <alignment horizontal="center"/>
    </xf>
    <xf numFmtId="10" fontId="102" fillId="5" borderId="11" xfId="2" applyNumberFormat="1" applyFont="1" applyFill="1" applyBorder="1" applyAlignment="1">
      <alignment horizontal="center"/>
    </xf>
    <xf numFmtId="170" fontId="102" fillId="5" borderId="11" xfId="4" applyNumberFormat="1" applyFont="1" applyFill="1" applyBorder="1" applyAlignment="1">
      <alignment horizontal="center"/>
    </xf>
    <xf numFmtId="1" fontId="52" fillId="6" borderId="11" xfId="4" applyNumberFormat="1" applyFont="1" applyFill="1" applyBorder="1" applyAlignment="1">
      <alignment horizontal="center"/>
    </xf>
    <xf numFmtId="0" fontId="102" fillId="0" borderId="11" xfId="4" applyFont="1" applyBorder="1"/>
    <xf numFmtId="2" fontId="94" fillId="0" borderId="0" xfId="4" applyNumberFormat="1" applyFont="1"/>
    <xf numFmtId="1" fontId="94" fillId="0" borderId="0" xfId="4" applyNumberFormat="1" applyFont="1"/>
    <xf numFmtId="165" fontId="104" fillId="0" borderId="11" xfId="4" applyNumberFormat="1" applyFont="1" applyBorder="1" applyAlignment="1">
      <alignment horizontal="center" wrapText="1"/>
    </xf>
    <xf numFmtId="165" fontId="94" fillId="0" borderId="0" xfId="4" applyNumberFormat="1" applyFont="1"/>
    <xf numFmtId="165" fontId="82" fillId="15" borderId="38" xfId="0" applyNumberFormat="1" applyFont="1" applyFill="1" applyBorder="1" applyAlignment="1">
      <alignment horizontal="center" vertical="center"/>
    </xf>
    <xf numFmtId="165" fontId="81" fillId="5" borderId="40" xfId="2" applyNumberFormat="1" applyFont="1" applyFill="1" applyBorder="1" applyAlignment="1">
      <alignment horizontal="center" vertical="center"/>
    </xf>
    <xf numFmtId="169" fontId="43" fillId="2" borderId="10" xfId="3" applyNumberFormat="1" applyFont="1" applyFill="1" applyBorder="1" applyAlignment="1">
      <alignment horizontal="center"/>
    </xf>
    <xf numFmtId="169" fontId="43" fillId="2" borderId="5" xfId="3" applyNumberFormat="1" applyFont="1" applyFill="1" applyBorder="1" applyAlignment="1">
      <alignment horizontal="center"/>
    </xf>
    <xf numFmtId="0" fontId="46" fillId="8" borderId="40" xfId="0" applyFont="1" applyFill="1" applyBorder="1" applyAlignment="1">
      <alignment horizontal="center"/>
    </xf>
    <xf numFmtId="0" fontId="0" fillId="0" borderId="2" xfId="0" applyBorder="1"/>
    <xf numFmtId="169" fontId="53" fillId="4" borderId="3" xfId="3" applyNumberFormat="1" applyFont="1" applyFill="1" applyBorder="1" applyAlignment="1">
      <alignment horizontal="center"/>
    </xf>
    <xf numFmtId="171" fontId="98" fillId="0" borderId="11" xfId="0" applyNumberFormat="1" applyFont="1" applyBorder="1" applyAlignment="1">
      <alignment horizontal="center"/>
    </xf>
    <xf numFmtId="2" fontId="0" fillId="0" borderId="0" xfId="0" applyNumberFormat="1" applyBorder="1"/>
    <xf numFmtId="0" fontId="50" fillId="0" borderId="11" xfId="17" applyFont="1" applyBorder="1" applyAlignment="1">
      <alignment horizontal="center" wrapText="1"/>
    </xf>
    <xf numFmtId="2" fontId="50" fillId="0" borderId="11" xfId="17" applyNumberFormat="1" applyFont="1" applyBorder="1" applyAlignment="1">
      <alignment horizontal="center" wrapText="1"/>
    </xf>
    <xf numFmtId="0" fontId="88" fillId="0" borderId="0" xfId="0" applyFont="1" applyFill="1" applyBorder="1" applyAlignment="1"/>
    <xf numFmtId="1" fontId="43" fillId="0" borderId="0" xfId="0" applyNumberFormat="1" applyFont="1" applyFill="1" applyBorder="1" applyAlignment="1">
      <alignment horizontal="center"/>
    </xf>
    <xf numFmtId="165" fontId="47" fillId="0" borderId="0" xfId="4" applyNumberFormat="1" applyFont="1" applyAlignment="1">
      <alignment horizontal="center"/>
    </xf>
    <xf numFmtId="165" fontId="43" fillId="0" borderId="11" xfId="0" applyNumberFormat="1" applyFont="1" applyBorder="1" applyAlignment="1">
      <alignment horizontal="center"/>
    </xf>
    <xf numFmtId="2" fontId="82" fillId="4" borderId="11" xfId="0" applyNumberFormat="1" applyFont="1" applyFill="1" applyBorder="1" applyAlignment="1">
      <alignment horizontal="center"/>
    </xf>
    <xf numFmtId="1" fontId="43" fillId="0" borderId="0" xfId="0" applyNumberFormat="1" applyFont="1" applyFill="1" applyBorder="1" applyAlignment="1">
      <alignment horizontal="center"/>
    </xf>
    <xf numFmtId="165" fontId="47" fillId="0" borderId="0" xfId="4" applyNumberFormat="1" applyFont="1"/>
    <xf numFmtId="2" fontId="81" fillId="5" borderId="40" xfId="2" applyNumberFormat="1" applyFont="1" applyFill="1" applyBorder="1" applyAlignment="1">
      <alignment horizontal="center" vertical="center"/>
    </xf>
    <xf numFmtId="0" fontId="73" fillId="13" borderId="5" xfId="0" applyFont="1" applyFill="1" applyBorder="1" applyAlignment="1">
      <alignment horizontal="center" vertical="center" wrapText="1"/>
    </xf>
    <xf numFmtId="0" fontId="85" fillId="4" borderId="11" xfId="0" applyFont="1" applyFill="1" applyBorder="1" applyAlignment="1">
      <alignment horizontal="center"/>
    </xf>
    <xf numFmtId="0" fontId="21" fillId="0" borderId="0" xfId="13" applyFont="1"/>
    <xf numFmtId="0" fontId="21" fillId="0" borderId="0" xfId="161"/>
    <xf numFmtId="2" fontId="21" fillId="0" borderId="0" xfId="161" applyNumberFormat="1"/>
    <xf numFmtId="2" fontId="21" fillId="0" borderId="0" xfId="161" applyNumberFormat="1" applyBorder="1"/>
    <xf numFmtId="2" fontId="111" fillId="18" borderId="0" xfId="161" applyNumberFormat="1" applyFont="1" applyFill="1"/>
    <xf numFmtId="0" fontId="111" fillId="18" borderId="0" xfId="161" applyFont="1" applyFill="1" applyBorder="1" applyAlignment="1">
      <alignment horizontal="center" vertical="center" textRotation="90"/>
    </xf>
    <xf numFmtId="165" fontId="21" fillId="0" borderId="0" xfId="161" applyNumberFormat="1" applyBorder="1" applyAlignment="1">
      <alignment horizontal="right"/>
    </xf>
    <xf numFmtId="165" fontId="21" fillId="0" borderId="0" xfId="161" applyNumberFormat="1" applyAlignment="1">
      <alignment horizontal="right"/>
    </xf>
    <xf numFmtId="2" fontId="21" fillId="0" borderId="0" xfId="161" applyNumberFormat="1" applyBorder="1" applyAlignment="1">
      <alignment horizontal="left"/>
    </xf>
    <xf numFmtId="166" fontId="21" fillId="0" borderId="0" xfId="161" applyNumberFormat="1" applyAlignment="1">
      <alignment horizontal="right"/>
    </xf>
    <xf numFmtId="166" fontId="109" fillId="17" borderId="25" xfId="108" applyNumberFormat="1" applyAlignment="1">
      <alignment horizontal="right"/>
    </xf>
    <xf numFmtId="1" fontId="109" fillId="17" borderId="25" xfId="108" applyNumberFormat="1"/>
    <xf numFmtId="0" fontId="115" fillId="0" borderId="0" xfId="0" applyFont="1"/>
    <xf numFmtId="2" fontId="115" fillId="0" borderId="0" xfId="0" applyNumberFormat="1" applyFont="1"/>
    <xf numFmtId="165" fontId="59" fillId="12" borderId="25" xfId="6" applyNumberFormat="1" applyAlignment="1">
      <alignment horizontal="center"/>
    </xf>
    <xf numFmtId="9" fontId="59" fillId="12" borderId="25" xfId="6" applyNumberFormat="1" applyAlignment="1">
      <alignment horizontal="center"/>
    </xf>
    <xf numFmtId="2" fontId="59" fillId="12" borderId="25" xfId="6" applyNumberFormat="1" applyAlignment="1">
      <alignment horizontal="center"/>
    </xf>
    <xf numFmtId="170" fontId="59" fillId="12" borderId="25" xfId="6" applyNumberFormat="1" applyAlignment="1">
      <alignment horizontal="center"/>
    </xf>
    <xf numFmtId="165" fontId="59" fillId="12" borderId="25" xfId="6" applyNumberFormat="1" applyAlignment="1">
      <alignment horizontal="center" vertical="center"/>
    </xf>
    <xf numFmtId="167" fontId="21" fillId="0" borderId="0" xfId="19" applyNumberFormat="1" applyFont="1" applyAlignment="1"/>
    <xf numFmtId="167" fontId="21" fillId="4" borderId="0" xfId="19" applyNumberFormat="1" applyFont="1" applyFill="1" applyAlignment="1"/>
    <xf numFmtId="167" fontId="0" fillId="4" borderId="0" xfId="19" applyNumberFormat="1" applyFont="1" applyFill="1" applyAlignment="1"/>
    <xf numFmtId="0" fontId="21" fillId="0" borderId="0" xfId="4" applyFont="1" applyFill="1" applyBorder="1"/>
    <xf numFmtId="167" fontId="0" fillId="0" borderId="0" xfId="19" applyNumberFormat="1" applyFont="1" applyAlignment="1"/>
    <xf numFmtId="0" fontId="0" fillId="0" borderId="58" xfId="0" applyBorder="1"/>
    <xf numFmtId="0" fontId="0" fillId="0" borderId="59" xfId="0" applyBorder="1"/>
    <xf numFmtId="0" fontId="0" fillId="4" borderId="59" xfId="0" applyFill="1" applyBorder="1"/>
    <xf numFmtId="0" fontId="0" fillId="0" borderId="60" xfId="0" applyBorder="1"/>
    <xf numFmtId="0" fontId="18" fillId="0" borderId="0" xfId="7" applyFont="1"/>
    <xf numFmtId="165" fontId="49" fillId="6" borderId="11" xfId="4" applyNumberFormat="1" applyFont="1" applyFill="1" applyBorder="1" applyAlignment="1">
      <alignment horizontal="center"/>
    </xf>
    <xf numFmtId="171" fontId="53" fillId="11" borderId="6" xfId="0" applyNumberFormat="1" applyFont="1" applyFill="1" applyBorder="1" applyAlignment="1">
      <alignment horizontal="center"/>
    </xf>
    <xf numFmtId="43" fontId="63" fillId="0" borderId="0" xfId="3" applyFont="1" applyFill="1" applyBorder="1" applyAlignment="1">
      <alignment horizontal="center"/>
    </xf>
    <xf numFmtId="14" fontId="0" fillId="0" borderId="0" xfId="0" applyNumberFormat="1" applyAlignment="1" applyProtection="1">
      <alignment vertical="center"/>
      <protection locked="0"/>
    </xf>
    <xf numFmtId="0" fontId="0" fillId="0" borderId="0" xfId="0" applyAlignment="1"/>
    <xf numFmtId="2" fontId="66" fillId="0" borderId="11" xfId="0" applyNumberFormat="1" applyFont="1" applyBorder="1" applyAlignment="1">
      <alignment horizontal="center"/>
    </xf>
    <xf numFmtId="171" fontId="81" fillId="5" borderId="40" xfId="2" applyNumberFormat="1" applyFont="1" applyFill="1" applyBorder="1" applyAlignment="1">
      <alignment horizontal="center" vertical="center"/>
    </xf>
    <xf numFmtId="0" fontId="0" fillId="0" borderId="61" xfId="0" applyBorder="1"/>
    <xf numFmtId="0" fontId="32" fillId="0" borderId="61" xfId="0" applyFont="1" applyBorder="1"/>
    <xf numFmtId="2" fontId="32" fillId="0" borderId="61" xfId="0" applyNumberFormat="1" applyFont="1" applyBorder="1"/>
    <xf numFmtId="0" fontId="32" fillId="0" borderId="61" xfId="0" applyFont="1" applyBorder="1" applyAlignment="1">
      <alignment vertical="center" wrapText="1"/>
    </xf>
    <xf numFmtId="9" fontId="0" fillId="0" borderId="61" xfId="2" applyFont="1" applyBorder="1"/>
    <xf numFmtId="165" fontId="0" fillId="0" borderId="61" xfId="0" applyNumberFormat="1" applyBorder="1"/>
    <xf numFmtId="2" fontId="0" fillId="0" borderId="61" xfId="0" applyNumberFormat="1" applyBorder="1"/>
    <xf numFmtId="171" fontId="0" fillId="0" borderId="61" xfId="0" applyNumberFormat="1" applyBorder="1"/>
    <xf numFmtId="2" fontId="15" fillId="0" borderId="0" xfId="161" applyNumberFormat="1" applyFont="1" applyBorder="1" applyAlignment="1">
      <alignment horizontal="left"/>
    </xf>
    <xf numFmtId="16" fontId="0" fillId="0" borderId="0" xfId="0" quotePrefix="1" applyNumberFormat="1"/>
    <xf numFmtId="16" fontId="53" fillId="2" borderId="11" xfId="0" quotePrefix="1" applyNumberFormat="1" applyFont="1" applyFill="1" applyBorder="1" applyAlignment="1">
      <alignment horizontal="center"/>
    </xf>
    <xf numFmtId="165" fontId="66" fillId="5" borderId="3" xfId="2" applyNumberFormat="1" applyFont="1" applyFill="1" applyBorder="1" applyAlignment="1">
      <alignment horizontal="center"/>
    </xf>
    <xf numFmtId="165" fontId="96" fillId="12" borderId="3" xfId="6" applyNumberFormat="1" applyFont="1" applyBorder="1" applyAlignment="1">
      <alignment horizontal="center"/>
    </xf>
    <xf numFmtId="165" fontId="66" fillId="4" borderId="3" xfId="2" applyNumberFormat="1" applyFont="1" applyFill="1" applyBorder="1" applyAlignment="1">
      <alignment horizontal="center"/>
    </xf>
    <xf numFmtId="0" fontId="77" fillId="14" borderId="61" xfId="0" applyFont="1" applyFill="1" applyBorder="1"/>
    <xf numFmtId="9" fontId="66" fillId="5" borderId="9" xfId="2" applyNumberFormat="1" applyFont="1" applyFill="1" applyBorder="1" applyAlignment="1">
      <alignment horizontal="center"/>
    </xf>
    <xf numFmtId="0" fontId="66" fillId="5" borderId="3" xfId="2" applyNumberFormat="1" applyFont="1" applyFill="1" applyBorder="1" applyAlignment="1">
      <alignment horizontal="center"/>
    </xf>
    <xf numFmtId="9" fontId="86" fillId="12" borderId="9" xfId="6" applyNumberFormat="1" applyFont="1" applyBorder="1" applyAlignment="1">
      <alignment horizontal="center"/>
    </xf>
    <xf numFmtId="9" fontId="66" fillId="4" borderId="9" xfId="2" applyNumberFormat="1" applyFont="1" applyFill="1" applyBorder="1" applyAlignment="1">
      <alignment horizontal="center"/>
    </xf>
    <xf numFmtId="165" fontId="66" fillId="15" borderId="3" xfId="0" applyNumberFormat="1" applyFont="1" applyFill="1" applyBorder="1" applyAlignment="1">
      <alignment horizontal="center"/>
    </xf>
    <xf numFmtId="165" fontId="66" fillId="15" borderId="9" xfId="0" applyNumberFormat="1" applyFont="1" applyFill="1" applyBorder="1" applyAlignment="1">
      <alignment horizontal="center"/>
    </xf>
    <xf numFmtId="165" fontId="86" fillId="12" borderId="3" xfId="6" applyNumberFormat="1" applyFont="1" applyBorder="1" applyAlignment="1">
      <alignment horizontal="center"/>
    </xf>
    <xf numFmtId="165" fontId="86" fillId="12" borderId="9" xfId="6" applyNumberFormat="1" applyFont="1" applyBorder="1" applyAlignment="1">
      <alignment horizontal="center"/>
    </xf>
    <xf numFmtId="165" fontId="66" fillId="4" borderId="3" xfId="0" applyNumberFormat="1" applyFont="1" applyFill="1" applyBorder="1" applyAlignment="1">
      <alignment horizontal="center"/>
    </xf>
    <xf numFmtId="165" fontId="66" fillId="4" borderId="9" xfId="0" applyNumberFormat="1" applyFont="1" applyFill="1" applyBorder="1" applyAlignment="1">
      <alignment horizontal="center"/>
    </xf>
    <xf numFmtId="165" fontId="66" fillId="0" borderId="3" xfId="0" applyNumberFormat="1" applyFont="1" applyBorder="1" applyAlignment="1">
      <alignment horizontal="center"/>
    </xf>
    <xf numFmtId="0" fontId="97" fillId="12" borderId="3" xfId="6" applyNumberFormat="1" applyFont="1" applyBorder="1" applyAlignment="1">
      <alignment horizontal="center"/>
    </xf>
    <xf numFmtId="0" fontId="81" fillId="13" borderId="13" xfId="0" applyFont="1" applyFill="1" applyBorder="1" applyAlignment="1">
      <alignment vertical="center" wrapText="1"/>
    </xf>
    <xf numFmtId="166" fontId="21" fillId="0" borderId="0" xfId="161" applyNumberFormat="1" applyAlignment="1">
      <alignment horizontal="center"/>
    </xf>
    <xf numFmtId="9" fontId="82" fillId="5" borderId="43" xfId="2" applyNumberFormat="1" applyFont="1" applyFill="1" applyBorder="1" applyAlignment="1">
      <alignment horizontal="center"/>
    </xf>
    <xf numFmtId="165" fontId="59" fillId="12" borderId="63" xfId="6" applyNumberFormat="1" applyBorder="1" applyAlignment="1">
      <alignment horizontal="center" vertical="center"/>
    </xf>
    <xf numFmtId="9" fontId="59" fillId="12" borderId="63" xfId="6" applyNumberFormat="1" applyBorder="1" applyAlignment="1">
      <alignment horizontal="center"/>
    </xf>
    <xf numFmtId="165" fontId="59" fillId="12" borderId="62" xfId="6" applyNumberFormat="1" applyBorder="1" applyAlignment="1">
      <alignment horizontal="center" vertical="center"/>
    </xf>
    <xf numFmtId="9" fontId="59" fillId="12" borderId="64" xfId="6" applyNumberFormat="1" applyBorder="1" applyAlignment="1">
      <alignment horizontal="center"/>
    </xf>
    <xf numFmtId="2" fontId="14" fillId="0" borderId="0" xfId="161" applyNumberFormat="1" applyFont="1" applyBorder="1" applyAlignment="1">
      <alignment horizontal="left"/>
    </xf>
    <xf numFmtId="165" fontId="109" fillId="17" borderId="25" xfId="108" applyNumberFormat="1" applyAlignment="1">
      <alignment horizontal="right"/>
    </xf>
    <xf numFmtId="2" fontId="14" fillId="0" borderId="0" xfId="161" applyNumberFormat="1" applyFont="1" applyBorder="1" applyAlignment="1">
      <alignment horizontal="left" indent="1"/>
    </xf>
    <xf numFmtId="165" fontId="97" fillId="12" borderId="11" xfId="6" applyNumberFormat="1" applyFont="1" applyBorder="1" applyAlignment="1">
      <alignment horizontal="center"/>
    </xf>
    <xf numFmtId="0" fontId="14" fillId="0" borderId="0" xfId="13" applyFont="1"/>
    <xf numFmtId="165" fontId="123" fillId="0" borderId="0" xfId="161" applyNumberFormat="1" applyFont="1" applyAlignment="1">
      <alignment horizontal="left" vertical="center"/>
    </xf>
    <xf numFmtId="2" fontId="13" fillId="0" borderId="0" xfId="161" applyNumberFormat="1" applyFont="1" applyAlignment="1">
      <alignment horizontal="left"/>
    </xf>
    <xf numFmtId="165" fontId="13" fillId="0" borderId="0" xfId="161" applyNumberFormat="1" applyFont="1" applyAlignment="1">
      <alignment horizontal="right"/>
    </xf>
    <xf numFmtId="2" fontId="21" fillId="20" borderId="61" xfId="161" applyNumberFormat="1" applyFill="1" applyBorder="1" applyAlignment="1">
      <alignment horizontal="right"/>
    </xf>
    <xf numFmtId="0" fontId="0" fillId="0" borderId="0" xfId="0" applyAlignment="1">
      <alignment horizontal="left" indent="1"/>
    </xf>
    <xf numFmtId="0" fontId="0" fillId="0" borderId="17" xfId="0" applyBorder="1"/>
    <xf numFmtId="0" fontId="0" fillId="0" borderId="5" xfId="0" applyBorder="1" applyAlignment="1">
      <alignment horizontal="center"/>
    </xf>
    <xf numFmtId="0" fontId="0" fillId="4" borderId="0" xfId="0" applyFill="1"/>
    <xf numFmtId="2" fontId="0" fillId="0" borderId="5" xfId="0" applyNumberFormat="1" applyBorder="1" applyAlignment="1">
      <alignment horizontal="left" indent="1"/>
    </xf>
    <xf numFmtId="2" fontId="0" fillId="0" borderId="5" xfId="0" applyNumberFormat="1" applyBorder="1"/>
    <xf numFmtId="0" fontId="32" fillId="0" borderId="5" xfId="0" applyFont="1" applyBorder="1" applyAlignment="1">
      <alignment horizontal="center"/>
    </xf>
    <xf numFmtId="0" fontId="0" fillId="0" borderId="0" xfId="0" applyAlignment="1">
      <alignment horizontal="left"/>
    </xf>
    <xf numFmtId="0" fontId="0" fillId="0" borderId="0" xfId="0" applyNumberFormat="1"/>
    <xf numFmtId="0" fontId="0" fillId="0" borderId="5" xfId="0" applyFont="1" applyFill="1" applyBorder="1" applyAlignment="1">
      <alignment horizontal="center" wrapText="1"/>
    </xf>
    <xf numFmtId="0" fontId="0" fillId="0" borderId="5" xfId="0" applyFont="1" applyFill="1" applyBorder="1" applyAlignment="1">
      <alignment horizontal="center"/>
    </xf>
    <xf numFmtId="0" fontId="0" fillId="0" borderId="35" xfId="0" applyBorder="1"/>
    <xf numFmtId="2" fontId="0" fillId="0" borderId="0" xfId="0" applyNumberFormat="1" applyBorder="1" applyAlignment="1">
      <alignment horizontal="left" indent="1"/>
    </xf>
    <xf numFmtId="0" fontId="0" fillId="0" borderId="6" xfId="0" applyBorder="1"/>
    <xf numFmtId="0" fontId="120" fillId="5" borderId="50" xfId="0" applyFont="1" applyFill="1" applyBorder="1" applyAlignment="1">
      <alignment horizontal="center"/>
    </xf>
    <xf numFmtId="0" fontId="0" fillId="14" borderId="50" xfId="0" applyFill="1" applyBorder="1" applyAlignment="1">
      <alignment vertical="center"/>
    </xf>
    <xf numFmtId="0" fontId="120" fillId="14" borderId="50" xfId="0" applyFont="1" applyFill="1" applyBorder="1" applyAlignment="1">
      <alignment horizontal="center" vertical="center"/>
    </xf>
    <xf numFmtId="0" fontId="81" fillId="14" borderId="12" xfId="0" applyFont="1" applyFill="1" applyBorder="1" applyAlignment="1">
      <alignment horizontal="center" vertical="top"/>
    </xf>
    <xf numFmtId="0" fontId="81" fillId="14" borderId="13" xfId="0" applyFont="1" applyFill="1" applyBorder="1" applyAlignment="1">
      <alignment horizontal="center" vertical="top"/>
    </xf>
    <xf numFmtId="0" fontId="120" fillId="5" borderId="45" xfId="0" applyFont="1" applyFill="1" applyBorder="1" applyAlignment="1">
      <alignment vertical="center"/>
    </xf>
    <xf numFmtId="0" fontId="0" fillId="14" borderId="45" xfId="0" applyFill="1" applyBorder="1" applyAlignment="1">
      <alignment vertical="center"/>
    </xf>
    <xf numFmtId="0" fontId="81" fillId="14" borderId="28" xfId="0" applyFont="1" applyFill="1" applyBorder="1" applyAlignment="1">
      <alignment horizontal="center" vertical="top"/>
    </xf>
    <xf numFmtId="0" fontId="81" fillId="14" borderId="15" xfId="0" applyFont="1" applyFill="1" applyBorder="1" applyAlignment="1">
      <alignment horizontal="center" vertical="top"/>
    </xf>
    <xf numFmtId="0" fontId="120" fillId="5" borderId="50" xfId="0" applyFont="1" applyFill="1" applyBorder="1" applyAlignment="1">
      <alignment vertical="center"/>
    </xf>
    <xf numFmtId="0" fontId="81" fillId="14" borderId="1" xfId="0" applyFont="1" applyFill="1" applyBorder="1" applyAlignment="1">
      <alignment horizontal="center" vertical="top"/>
    </xf>
    <xf numFmtId="0" fontId="81" fillId="14" borderId="10" xfId="0" applyFont="1" applyFill="1" applyBorder="1" applyAlignment="1">
      <alignment horizontal="center" vertical="top"/>
    </xf>
    <xf numFmtId="0" fontId="43" fillId="5" borderId="51" xfId="0" applyFont="1" applyFill="1" applyBorder="1" applyAlignment="1">
      <alignment vertical="center"/>
    </xf>
    <xf numFmtId="0" fontId="43" fillId="14" borderId="51" xfId="0" applyFont="1" applyFill="1" applyBorder="1" applyAlignment="1">
      <alignment vertical="center"/>
    </xf>
    <xf numFmtId="0" fontId="80" fillId="0" borderId="0" xfId="0" applyFont="1" applyBorder="1"/>
    <xf numFmtId="0" fontId="46" fillId="8" borderId="18" xfId="0" applyFont="1" applyFill="1" applyBorder="1" applyAlignment="1">
      <alignment horizontal="center"/>
    </xf>
    <xf numFmtId="169" fontId="53" fillId="4" borderId="6" xfId="3" applyNumberFormat="1" applyFont="1" applyFill="1" applyBorder="1" applyAlignment="1">
      <alignment horizontal="center"/>
    </xf>
    <xf numFmtId="0" fontId="32" fillId="0" borderId="0" xfId="0" applyFont="1" applyAlignment="1">
      <alignment horizontal="left" indent="1"/>
    </xf>
    <xf numFmtId="0" fontId="127" fillId="0" borderId="0" xfId="0" applyFont="1"/>
    <xf numFmtId="0" fontId="127" fillId="0" borderId="5" xfId="0" applyFont="1" applyBorder="1"/>
    <xf numFmtId="0" fontId="127" fillId="0" borderId="0" xfId="0" applyFont="1" applyBorder="1"/>
    <xf numFmtId="0" fontId="127" fillId="0" borderId="0" xfId="0" applyFont="1" applyAlignment="1">
      <alignment horizontal="left"/>
    </xf>
    <xf numFmtId="0" fontId="127" fillId="0" borderId="0" xfId="0" applyFont="1" applyAlignment="1">
      <alignment horizontal="center"/>
    </xf>
    <xf numFmtId="0" fontId="127" fillId="0" borderId="2" xfId="0" applyFont="1" applyBorder="1"/>
    <xf numFmtId="0" fontId="127" fillId="0" borderId="5" xfId="0" applyFont="1" applyBorder="1" applyAlignment="1">
      <alignment horizontal="center"/>
    </xf>
    <xf numFmtId="0" fontId="127" fillId="0" borderId="6" xfId="0" applyFont="1" applyBorder="1" applyAlignment="1">
      <alignment horizontal="center"/>
    </xf>
    <xf numFmtId="169" fontId="127" fillId="0" borderId="0" xfId="0" applyNumberFormat="1" applyFont="1"/>
    <xf numFmtId="169" fontId="127" fillId="0" borderId="0" xfId="0" applyNumberFormat="1" applyFont="1" applyBorder="1"/>
    <xf numFmtId="1" fontId="127" fillId="0" borderId="0" xfId="0" applyNumberFormat="1" applyFont="1"/>
    <xf numFmtId="3" fontId="127" fillId="0" borderId="0" xfId="3" applyNumberFormat="1" applyFont="1"/>
    <xf numFmtId="3" fontId="127" fillId="0" borderId="2" xfId="3" applyNumberFormat="1" applyFont="1" applyBorder="1"/>
    <xf numFmtId="3" fontId="127" fillId="0" borderId="0" xfId="3" applyNumberFormat="1" applyFont="1" applyBorder="1"/>
    <xf numFmtId="169" fontId="127" fillId="0" borderId="5" xfId="0" applyNumberFormat="1" applyFont="1" applyBorder="1"/>
    <xf numFmtId="169" fontId="127" fillId="0" borderId="8" xfId="0" applyNumberFormat="1" applyFont="1" applyBorder="1"/>
    <xf numFmtId="0" fontId="127" fillId="0" borderId="0" xfId="0" applyFont="1" applyAlignment="1">
      <alignment horizontal="right"/>
    </xf>
    <xf numFmtId="0" fontId="127" fillId="0" borderId="0" xfId="0" applyFont="1" applyBorder="1" applyAlignment="1">
      <alignment horizontal="left"/>
    </xf>
    <xf numFmtId="0" fontId="127" fillId="0" borderId="4" xfId="0" applyFont="1" applyBorder="1" applyAlignment="1"/>
    <xf numFmtId="0" fontId="127" fillId="0" borderId="0" xfId="0" applyFont="1" applyFill="1" applyBorder="1"/>
    <xf numFmtId="0" fontId="127" fillId="0" borderId="5" xfId="0" applyFont="1" applyFill="1" applyBorder="1"/>
    <xf numFmtId="169" fontId="127" fillId="0" borderId="7" xfId="0" applyNumberFormat="1" applyFont="1" applyBorder="1"/>
    <xf numFmtId="0" fontId="127" fillId="0" borderId="1" xfId="0" applyFont="1" applyFill="1" applyBorder="1"/>
    <xf numFmtId="0" fontId="0" fillId="0" borderId="1" xfId="0" applyBorder="1"/>
    <xf numFmtId="0" fontId="0" fillId="0" borderId="0" xfId="0"/>
    <xf numFmtId="3" fontId="0" fillId="0" borderId="0" xfId="0" applyNumberFormat="1"/>
    <xf numFmtId="0" fontId="32" fillId="0" borderId="0" xfId="0" applyFont="1" applyBorder="1" applyAlignment="1">
      <alignment horizontal="center"/>
    </xf>
    <xf numFmtId="0" fontId="32" fillId="0" borderId="0" xfId="0" applyFont="1" applyBorder="1" applyAlignment="1">
      <alignment horizontal="center" wrapText="1"/>
    </xf>
    <xf numFmtId="0" fontId="32" fillId="0" borderId="67" xfId="0" applyFont="1" applyBorder="1"/>
    <xf numFmtId="0" fontId="129" fillId="0" borderId="5" xfId="0" applyFont="1" applyBorder="1"/>
    <xf numFmtId="165" fontId="129" fillId="0" borderId="0" xfId="0" applyNumberFormat="1" applyFont="1" applyBorder="1"/>
    <xf numFmtId="0" fontId="129" fillId="0" borderId="0" xfId="0" applyFont="1"/>
    <xf numFmtId="0" fontId="0" fillId="0" borderId="67" xfId="0" applyBorder="1"/>
    <xf numFmtId="2" fontId="32" fillId="0" borderId="0" xfId="0" applyNumberFormat="1" applyFont="1" applyBorder="1" applyAlignment="1">
      <alignment horizontal="left" indent="1"/>
    </xf>
    <xf numFmtId="0" fontId="32" fillId="0" borderId="0" xfId="0" applyFont="1" applyFill="1" applyBorder="1" applyAlignment="1">
      <alignment horizontal="center" wrapText="1"/>
    </xf>
    <xf numFmtId="165" fontId="32" fillId="0" borderId="0" xfId="0" applyNumberFormat="1" applyFont="1" applyBorder="1"/>
    <xf numFmtId="0" fontId="21" fillId="0" borderId="0" xfId="161" applyBorder="1" applyAlignment="1">
      <alignment horizontal="center" vertical="center" textRotation="90"/>
    </xf>
    <xf numFmtId="171" fontId="130" fillId="17" borderId="69" xfId="510" applyNumberFormat="1" applyAlignment="1">
      <alignment horizontal="right"/>
    </xf>
    <xf numFmtId="166" fontId="127" fillId="0" borderId="0" xfId="0" applyNumberFormat="1" applyFont="1"/>
    <xf numFmtId="166" fontId="127" fillId="0" borderId="0" xfId="3" applyNumberFormat="1" applyFont="1"/>
    <xf numFmtId="166" fontId="127" fillId="0" borderId="35" xfId="0" applyNumberFormat="1" applyFont="1" applyBorder="1"/>
    <xf numFmtId="166" fontId="127" fillId="0" borderId="2" xfId="0" applyNumberFormat="1" applyFont="1" applyBorder="1"/>
    <xf numFmtId="166" fontId="103" fillId="0" borderId="0" xfId="0" applyNumberFormat="1" applyFont="1"/>
    <xf numFmtId="166" fontId="127" fillId="0" borderId="2" xfId="3" applyNumberFormat="1" applyFont="1" applyBorder="1"/>
    <xf numFmtId="2" fontId="59" fillId="12" borderId="25" xfId="6" applyNumberFormat="1"/>
    <xf numFmtId="0" fontId="129" fillId="0" borderId="0" xfId="0" applyFont="1" applyBorder="1"/>
    <xf numFmtId="169" fontId="129" fillId="0" borderId="0" xfId="0" applyNumberFormat="1" applyFont="1"/>
    <xf numFmtId="0" fontId="127" fillId="10" borderId="10" xfId="0" applyFont="1" applyFill="1" applyBorder="1"/>
    <xf numFmtId="0" fontId="127" fillId="10" borderId="12" xfId="0" applyFont="1" applyFill="1" applyBorder="1"/>
    <xf numFmtId="0" fontId="53" fillId="2" borderId="54" xfId="0" applyFont="1" applyFill="1" applyBorder="1" applyAlignment="1">
      <alignment horizontal="center"/>
    </xf>
    <xf numFmtId="0" fontId="53" fillId="2" borderId="70" xfId="0" applyFont="1" applyFill="1" applyBorder="1" applyAlignment="1">
      <alignment horizontal="center"/>
    </xf>
    <xf numFmtId="0" fontId="53" fillId="2" borderId="73" xfId="0" applyFont="1" applyFill="1" applyBorder="1" applyAlignment="1">
      <alignment horizontal="center"/>
    </xf>
    <xf numFmtId="3" fontId="43" fillId="2" borderId="2" xfId="0" applyNumberFormat="1" applyFont="1" applyFill="1" applyBorder="1" applyAlignment="1">
      <alignment horizontal="center"/>
    </xf>
    <xf numFmtId="3" fontId="43" fillId="2" borderId="6" xfId="0" applyNumberFormat="1" applyFont="1" applyFill="1" applyBorder="1" applyAlignment="1">
      <alignment horizontal="center"/>
    </xf>
    <xf numFmtId="3" fontId="43" fillId="2" borderId="8" xfId="0" applyNumberFormat="1" applyFont="1" applyFill="1" applyBorder="1" applyAlignment="1">
      <alignment horizontal="center"/>
    </xf>
    <xf numFmtId="0" fontId="43" fillId="10" borderId="8" xfId="0" applyFont="1" applyFill="1" applyBorder="1" applyAlignment="1">
      <alignment horizontal="center" vertical="center"/>
    </xf>
    <xf numFmtId="0" fontId="43" fillId="10" borderId="7" xfId="0" applyFont="1" applyFill="1" applyBorder="1" applyAlignment="1">
      <alignment horizontal="center" vertical="center"/>
    </xf>
    <xf numFmtId="0" fontId="43" fillId="10" borderId="2" xfId="0" applyFont="1" applyFill="1" applyBorder="1" applyAlignment="1">
      <alignment horizontal="center" vertical="center"/>
    </xf>
    <xf numFmtId="0" fontId="43" fillId="10" borderId="6" xfId="0" applyFont="1" applyFill="1" applyBorder="1" applyAlignment="1">
      <alignment horizontal="center" vertical="center"/>
    </xf>
    <xf numFmtId="3" fontId="43" fillId="2" borderId="35" xfId="0" applyNumberFormat="1" applyFont="1" applyFill="1" applyBorder="1" applyAlignment="1">
      <alignment horizontal="center"/>
    </xf>
    <xf numFmtId="1" fontId="43" fillId="10" borderId="0" xfId="0" applyNumberFormat="1" applyFont="1" applyFill="1" applyBorder="1" applyAlignment="1">
      <alignment horizontal="center" vertical="center"/>
    </xf>
    <xf numFmtId="1" fontId="43" fillId="10" borderId="2" xfId="0" applyNumberFormat="1" applyFont="1" applyFill="1" applyBorder="1" applyAlignment="1">
      <alignment horizontal="center" vertical="center"/>
    </xf>
    <xf numFmtId="1" fontId="43" fillId="10" borderId="5" xfId="0" applyNumberFormat="1" applyFont="1" applyFill="1" applyBorder="1" applyAlignment="1">
      <alignment horizontal="center" vertical="center"/>
    </xf>
    <xf numFmtId="1" fontId="43" fillId="10" borderId="6" xfId="0" applyNumberFormat="1" applyFont="1" applyFill="1" applyBorder="1" applyAlignment="1">
      <alignment horizontal="center" vertical="center"/>
    </xf>
    <xf numFmtId="1" fontId="43" fillId="10" borderId="8" xfId="0" applyNumberFormat="1" applyFont="1" applyFill="1" applyBorder="1" applyAlignment="1">
      <alignment horizontal="center" vertical="center"/>
    </xf>
    <xf numFmtId="1" fontId="43" fillId="10" borderId="7" xfId="0" applyNumberFormat="1" applyFont="1" applyFill="1" applyBorder="1" applyAlignment="1">
      <alignment horizontal="center" vertical="center"/>
    </xf>
    <xf numFmtId="1" fontId="43" fillId="10" borderId="17" xfId="0" applyNumberFormat="1" applyFont="1" applyFill="1" applyBorder="1" applyAlignment="1">
      <alignment horizontal="center" vertical="center"/>
    </xf>
    <xf numFmtId="1" fontId="43" fillId="10" borderId="35" xfId="0" applyNumberFormat="1" applyFont="1" applyFill="1" applyBorder="1" applyAlignment="1">
      <alignment horizontal="center" vertical="center"/>
    </xf>
    <xf numFmtId="1" fontId="43" fillId="10" borderId="18" xfId="0" applyNumberFormat="1" applyFont="1" applyFill="1" applyBorder="1" applyAlignment="1">
      <alignment horizontal="center" vertical="center"/>
    </xf>
    <xf numFmtId="0" fontId="46" fillId="8" borderId="66" xfId="0" applyFont="1" applyFill="1" applyBorder="1" applyAlignment="1">
      <alignment horizontal="center"/>
    </xf>
    <xf numFmtId="3" fontId="131" fillId="10" borderId="0" xfId="6" applyNumberFormat="1" applyFont="1" applyFill="1" applyBorder="1" applyAlignment="1">
      <alignment horizontal="center"/>
    </xf>
    <xf numFmtId="3" fontId="131" fillId="10" borderId="5" xfId="6" applyNumberFormat="1" applyFont="1" applyFill="1" applyBorder="1" applyAlignment="1">
      <alignment horizontal="center"/>
    </xf>
    <xf numFmtId="0" fontId="29" fillId="0" borderId="0" xfId="13" applyFont="1" applyBorder="1"/>
    <xf numFmtId="165" fontId="29" fillId="0" borderId="0" xfId="13" applyNumberFormat="1" applyFont="1" applyBorder="1"/>
    <xf numFmtId="0" fontId="16" fillId="0" borderId="0" xfId="13" applyFont="1" applyBorder="1"/>
    <xf numFmtId="2" fontId="16" fillId="0" borderId="0" xfId="13" applyNumberFormat="1" applyFont="1" applyBorder="1"/>
    <xf numFmtId="0" fontId="16" fillId="0" borderId="0" xfId="13" applyFont="1" applyBorder="1" applyAlignment="1">
      <alignment wrapText="1"/>
    </xf>
    <xf numFmtId="0" fontId="0" fillId="0" borderId="67" xfId="0" applyBorder="1" applyAlignment="1"/>
    <xf numFmtId="14" fontId="0" fillId="0" borderId="0" xfId="0" applyNumberFormat="1"/>
    <xf numFmtId="165" fontId="0" fillId="0" borderId="38" xfId="0" applyNumberFormat="1" applyBorder="1"/>
    <xf numFmtId="166" fontId="59" fillId="12" borderId="25" xfId="6" applyNumberFormat="1" applyAlignment="1">
      <alignment horizontal="center" vertical="center"/>
    </xf>
    <xf numFmtId="166" fontId="81" fillId="5" borderId="40" xfId="2" applyNumberFormat="1" applyFont="1" applyFill="1" applyBorder="1" applyAlignment="1">
      <alignment horizontal="center" vertical="center"/>
    </xf>
    <xf numFmtId="165" fontId="10" fillId="0" borderId="0" xfId="161" applyNumberFormat="1" applyFont="1" applyAlignment="1">
      <alignment horizontal="left"/>
    </xf>
    <xf numFmtId="3" fontId="0" fillId="0" borderId="5" xfId="0" applyNumberFormat="1" applyBorder="1"/>
    <xf numFmtId="165" fontId="29" fillId="0" borderId="0" xfId="13" applyNumberFormat="1" applyFont="1"/>
    <xf numFmtId="0" fontId="9" fillId="0" borderId="0" xfId="13" applyFont="1"/>
    <xf numFmtId="3" fontId="131" fillId="0" borderId="0" xfId="6" applyNumberFormat="1" applyFont="1" applyFill="1" applyBorder="1" applyAlignment="1">
      <alignment horizontal="center"/>
    </xf>
    <xf numFmtId="166" fontId="59" fillId="12" borderId="63" xfId="6" applyNumberFormat="1" applyBorder="1" applyAlignment="1">
      <alignment horizontal="center" vertical="center"/>
    </xf>
    <xf numFmtId="2" fontId="8" fillId="0" borderId="0" xfId="161" applyNumberFormat="1" applyFont="1" applyBorder="1" applyAlignment="1">
      <alignment horizontal="left" indent="1"/>
    </xf>
    <xf numFmtId="2" fontId="8" fillId="0" borderId="0" xfId="161" applyNumberFormat="1" applyFont="1"/>
    <xf numFmtId="2" fontId="7" fillId="0" borderId="0" xfId="161" applyNumberFormat="1" applyFont="1" applyAlignment="1">
      <alignment horizontal="right"/>
    </xf>
    <xf numFmtId="166" fontId="59" fillId="12" borderId="25" xfId="6" applyNumberFormat="1"/>
    <xf numFmtId="0" fontId="127" fillId="0" borderId="17" xfId="0" applyFont="1" applyBorder="1" applyAlignment="1"/>
    <xf numFmtId="0" fontId="127" fillId="0" borderId="5" xfId="0" applyFont="1" applyBorder="1" applyAlignment="1"/>
    <xf numFmtId="0" fontId="6" fillId="0" borderId="0" xfId="161" applyFont="1"/>
    <xf numFmtId="2" fontId="109" fillId="17" borderId="25" xfId="108" applyNumberFormat="1" applyAlignment="1">
      <alignment horizontal="right"/>
    </xf>
    <xf numFmtId="0" fontId="59" fillId="12" borderId="25" xfId="6"/>
    <xf numFmtId="2" fontId="5" fillId="0" borderId="0" xfId="161" applyNumberFormat="1" applyFont="1" applyBorder="1" applyAlignment="1">
      <alignment horizontal="left"/>
    </xf>
    <xf numFmtId="0" fontId="5" fillId="0" borderId="0" xfId="7" applyFont="1"/>
    <xf numFmtId="3" fontId="132" fillId="22" borderId="2" xfId="511" applyNumberFormat="1" applyBorder="1" applyAlignment="1">
      <alignment horizontal="right" vertical="center"/>
    </xf>
    <xf numFmtId="3" fontId="132" fillId="22" borderId="6" xfId="511" applyNumberFormat="1" applyBorder="1" applyAlignment="1">
      <alignment horizontal="right" vertical="center"/>
    </xf>
    <xf numFmtId="3" fontId="132" fillId="22" borderId="43" xfId="511" applyNumberFormat="1" applyBorder="1" applyAlignment="1">
      <alignment horizontal="right" vertical="center"/>
    </xf>
    <xf numFmtId="3" fontId="132" fillId="22" borderId="44" xfId="511" applyNumberFormat="1" applyBorder="1" applyAlignment="1">
      <alignment horizontal="right" vertical="center"/>
    </xf>
    <xf numFmtId="170" fontId="41" fillId="4" borderId="9" xfId="0" applyNumberFormat="1" applyFont="1" applyFill="1" applyBorder="1" applyAlignment="1">
      <alignment horizontal="center"/>
    </xf>
    <xf numFmtId="1" fontId="43" fillId="0" borderId="0" xfId="0" applyNumberFormat="1" applyFont="1" applyFill="1" applyBorder="1" applyAlignment="1">
      <alignment horizontal="center"/>
    </xf>
    <xf numFmtId="0" fontId="0" fillId="10" borderId="0" xfId="0" applyFill="1"/>
    <xf numFmtId="0" fontId="32" fillId="10" borderId="0" xfId="0" applyFont="1" applyFill="1"/>
    <xf numFmtId="14" fontId="0" fillId="10" borderId="0" xfId="0" applyNumberFormat="1" applyFill="1"/>
    <xf numFmtId="0" fontId="115" fillId="10" borderId="0" xfId="0" applyFont="1" applyFill="1"/>
    <xf numFmtId="2" fontId="0" fillId="10" borderId="0" xfId="0" applyNumberFormat="1" applyFill="1"/>
    <xf numFmtId="14" fontId="115" fillId="10" borderId="0" xfId="0" applyNumberFormat="1" applyFont="1" applyFill="1"/>
    <xf numFmtId="0" fontId="110" fillId="10" borderId="0" xfId="0" applyFont="1" applyFill="1"/>
    <xf numFmtId="173" fontId="110" fillId="10" borderId="0" xfId="0" applyNumberFormat="1" applyFont="1" applyFill="1"/>
    <xf numFmtId="43" fontId="110" fillId="10" borderId="0" xfId="0" applyNumberFormat="1" applyFont="1" applyFill="1"/>
    <xf numFmtId="167" fontId="118" fillId="10" borderId="0" xfId="3" applyNumberFormat="1" applyFont="1" applyFill="1"/>
    <xf numFmtId="0" fontId="4" fillId="0" borderId="0" xfId="13" applyFont="1"/>
    <xf numFmtId="2" fontId="4" fillId="0" borderId="0" xfId="161" applyNumberFormat="1" applyFont="1" applyAlignment="1">
      <alignment horizontal="left"/>
    </xf>
    <xf numFmtId="0" fontId="3" fillId="0" borderId="0" xfId="4" applyFont="1" applyFill="1" applyBorder="1"/>
    <xf numFmtId="167" fontId="3" fillId="0" borderId="0" xfId="19" applyNumberFormat="1" applyFont="1" applyAlignment="1"/>
    <xf numFmtId="0" fontId="41" fillId="4" borderId="3" xfId="0" applyFont="1" applyFill="1" applyBorder="1" applyAlignment="1">
      <alignment wrapText="1"/>
    </xf>
    <xf numFmtId="170" fontId="41" fillId="4" borderId="3" xfId="0" applyNumberFormat="1" applyFont="1" applyFill="1" applyBorder="1" applyAlignment="1"/>
    <xf numFmtId="0" fontId="53" fillId="5" borderId="51" xfId="0" applyFont="1" applyFill="1" applyBorder="1" applyAlignment="1">
      <alignment vertical="center"/>
    </xf>
    <xf numFmtId="0" fontId="53" fillId="5" borderId="50" xfId="0" applyFont="1" applyFill="1" applyBorder="1" applyAlignment="1">
      <alignment vertical="center"/>
    </xf>
    <xf numFmtId="0" fontId="0" fillId="0" borderId="0" xfId="0" applyFill="1" applyBorder="1" applyAlignment="1">
      <alignment horizontal="center"/>
    </xf>
    <xf numFmtId="49" fontId="53" fillId="2" borderId="2" xfId="0" applyNumberFormat="1" applyFont="1" applyFill="1" applyBorder="1" applyAlignment="1">
      <alignment horizontal="center"/>
    </xf>
    <xf numFmtId="49" fontId="32" fillId="10" borderId="0" xfId="0" applyNumberFormat="1" applyFont="1" applyFill="1"/>
    <xf numFmtId="0" fontId="61" fillId="12" borderId="74" xfId="6" applyFont="1" applyBorder="1" applyAlignment="1">
      <alignment horizontal="center"/>
    </xf>
    <xf numFmtId="2" fontId="39" fillId="0" borderId="5" xfId="0" applyNumberFormat="1" applyFont="1" applyFill="1" applyBorder="1" applyAlignment="1">
      <alignment horizontal="center"/>
    </xf>
    <xf numFmtId="0" fontId="133" fillId="0" borderId="5" xfId="6" applyFont="1" applyFill="1" applyBorder="1" applyAlignment="1">
      <alignment horizontal="right"/>
    </xf>
    <xf numFmtId="0" fontId="133" fillId="0" borderId="5" xfId="6" applyFont="1" applyFill="1" applyBorder="1" applyAlignment="1">
      <alignment horizontal="left"/>
    </xf>
    <xf numFmtId="0" fontId="74" fillId="4" borderId="0" xfId="0" applyFont="1" applyFill="1" applyBorder="1" applyAlignment="1">
      <alignment vertical="center"/>
    </xf>
    <xf numFmtId="0" fontId="0" fillId="15" borderId="0" xfId="0" applyFill="1"/>
    <xf numFmtId="0" fontId="32" fillId="15" borderId="0" xfId="0" applyFont="1" applyFill="1"/>
    <xf numFmtId="14" fontId="0" fillId="15" borderId="0" xfId="0" applyNumberFormat="1" applyFill="1"/>
    <xf numFmtId="0" fontId="115" fillId="15" borderId="0" xfId="0" applyFont="1" applyFill="1"/>
    <xf numFmtId="0" fontId="115" fillId="21" borderId="0" xfId="0" applyFont="1" applyFill="1"/>
    <xf numFmtId="2" fontId="0" fillId="21" borderId="0" xfId="0" applyNumberFormat="1" applyFill="1"/>
    <xf numFmtId="14" fontId="115" fillId="21" borderId="0" xfId="0" applyNumberFormat="1" applyFont="1" applyFill="1"/>
    <xf numFmtId="0" fontId="32" fillId="21" borderId="0" xfId="0" applyFont="1" applyFill="1"/>
    <xf numFmtId="0" fontId="0" fillId="21" borderId="0" xfId="0" applyFill="1"/>
    <xf numFmtId="0" fontId="110" fillId="21" borderId="0" xfId="0" applyFont="1" applyFill="1"/>
    <xf numFmtId="173" fontId="110" fillId="21" borderId="0" xfId="0" applyNumberFormat="1" applyFont="1" applyFill="1"/>
    <xf numFmtId="43" fontId="110" fillId="21" borderId="0" xfId="0" applyNumberFormat="1" applyFont="1" applyFill="1"/>
    <xf numFmtId="167" fontId="118" fillId="21" borderId="0" xfId="3" applyNumberFormat="1" applyFont="1" applyFill="1"/>
    <xf numFmtId="14" fontId="0" fillId="21" borderId="0" xfId="0" applyNumberFormat="1" applyFill="1"/>
    <xf numFmtId="49" fontId="32" fillId="21" borderId="0" xfId="0" applyNumberFormat="1" applyFont="1" applyFill="1"/>
    <xf numFmtId="0" fontId="115" fillId="23" borderId="0" xfId="0" applyFont="1" applyFill="1"/>
    <xf numFmtId="2" fontId="0" fillId="23" borderId="0" xfId="0" applyNumberFormat="1" applyFill="1"/>
    <xf numFmtId="14" fontId="115" fillId="23" borderId="0" xfId="0" applyNumberFormat="1" applyFont="1" applyFill="1"/>
    <xf numFmtId="0" fontId="32" fillId="23" borderId="0" xfId="0" applyFont="1" applyFill="1"/>
    <xf numFmtId="0" fontId="0" fillId="23" borderId="0" xfId="0" applyFill="1"/>
    <xf numFmtId="0" fontId="110" fillId="23" borderId="0" xfId="0" applyFont="1" applyFill="1"/>
    <xf numFmtId="173" fontId="110" fillId="23" borderId="0" xfId="0" applyNumberFormat="1" applyFont="1" applyFill="1"/>
    <xf numFmtId="43" fontId="110" fillId="23" borderId="0" xfId="0" applyNumberFormat="1" applyFont="1" applyFill="1"/>
    <xf numFmtId="167" fontId="118" fillId="23" borderId="0" xfId="3" applyNumberFormat="1" applyFont="1" applyFill="1"/>
    <xf numFmtId="14" fontId="0" fillId="23" borderId="0" xfId="0" applyNumberFormat="1" applyFill="1"/>
    <xf numFmtId="49" fontId="32" fillId="23" borderId="0" xfId="0" applyNumberFormat="1" applyFont="1" applyFill="1"/>
    <xf numFmtId="49" fontId="84" fillId="12" borderId="25" xfId="6" applyNumberFormat="1" applyFont="1" applyAlignment="1">
      <alignment horizontal="center"/>
    </xf>
    <xf numFmtId="0" fontId="84" fillId="12" borderId="25" xfId="6" applyNumberFormat="1" applyFont="1" applyAlignment="1">
      <alignment horizontal="center"/>
    </xf>
    <xf numFmtId="0" fontId="134" fillId="0" borderId="0" xfId="512"/>
    <xf numFmtId="177" fontId="103" fillId="0" borderId="0" xfId="29" applyNumberFormat="1" applyFont="1"/>
    <xf numFmtId="178" fontId="103" fillId="0" borderId="0" xfId="19" applyNumberFormat="1" applyFont="1"/>
    <xf numFmtId="0" fontId="103" fillId="0" borderId="0" xfId="512" applyFont="1"/>
    <xf numFmtId="11" fontId="103" fillId="0" borderId="0" xfId="512" applyNumberFormat="1" applyFont="1"/>
    <xf numFmtId="0" fontId="32" fillId="0" borderId="0" xfId="512" applyFont="1"/>
    <xf numFmtId="0" fontId="135" fillId="0" borderId="0" xfId="512" applyFont="1"/>
    <xf numFmtId="0" fontId="136" fillId="0" borderId="0" xfId="512" applyFont="1"/>
    <xf numFmtId="0" fontId="137" fillId="0" borderId="0" xfId="512" applyFont="1"/>
    <xf numFmtId="0" fontId="0" fillId="0" borderId="0" xfId="0" applyFont="1" applyFill="1" applyBorder="1" applyAlignment="1">
      <alignment horizontal="center"/>
    </xf>
    <xf numFmtId="0" fontId="2" fillId="0" borderId="0" xfId="7" applyFont="1"/>
    <xf numFmtId="0" fontId="21" fillId="0" borderId="0" xfId="161" applyBorder="1" applyAlignment="1">
      <alignment horizontal="center" vertical="center" textRotation="90"/>
    </xf>
    <xf numFmtId="2" fontId="1" fillId="0" borderId="0" xfId="161" applyNumberFormat="1" applyFont="1" applyAlignment="1">
      <alignment horizontal="left"/>
    </xf>
    <xf numFmtId="171" fontId="59" fillId="12" borderId="25" xfId="6" applyNumberFormat="1" applyAlignment="1">
      <alignment horizontal="right"/>
    </xf>
    <xf numFmtId="0" fontId="1" fillId="0" borderId="0" xfId="13" applyFont="1"/>
    <xf numFmtId="9" fontId="77" fillId="5" borderId="10" xfId="2" applyFont="1" applyFill="1" applyBorder="1" applyAlignment="1">
      <alignment horizontal="center"/>
    </xf>
    <xf numFmtId="0" fontId="53" fillId="0" borderId="51" xfId="0" applyFont="1" applyBorder="1" applyAlignment="1">
      <alignment horizontal="center" vertical="center"/>
    </xf>
    <xf numFmtId="0" fontId="53" fillId="14" borderId="51" xfId="0" applyFont="1" applyFill="1" applyBorder="1" applyAlignment="1">
      <alignment horizontal="center" vertical="center"/>
    </xf>
    <xf numFmtId="0" fontId="53" fillId="5" borderId="51" xfId="0" applyFont="1" applyFill="1" applyBorder="1" applyAlignment="1">
      <alignment horizontal="center" vertical="center"/>
    </xf>
    <xf numFmtId="0" fontId="81" fillId="14" borderId="10" xfId="0" applyFont="1" applyFill="1" applyBorder="1" applyAlignment="1">
      <alignment horizontal="center" vertical="center"/>
    </xf>
    <xf numFmtId="0" fontId="81" fillId="14" borderId="1" xfId="0" applyFont="1" applyFill="1" applyBorder="1" applyAlignment="1">
      <alignment horizontal="center" vertical="center"/>
    </xf>
    <xf numFmtId="166" fontId="21" fillId="0" borderId="0" xfId="161" applyNumberFormat="1" applyAlignment="1">
      <alignment horizontal="center"/>
    </xf>
    <xf numFmtId="9" fontId="66" fillId="5" borderId="67" xfId="2" applyNumberFormat="1" applyFont="1" applyFill="1" applyBorder="1" applyAlignment="1">
      <alignment horizontal="center"/>
    </xf>
    <xf numFmtId="165" fontId="66" fillId="15" borderId="67" xfId="0" applyNumberFormat="1" applyFont="1" applyFill="1" applyBorder="1" applyAlignment="1">
      <alignment horizontal="center"/>
    </xf>
    <xf numFmtId="9" fontId="82" fillId="5" borderId="0" xfId="2" applyNumberFormat="1" applyFont="1" applyFill="1" applyBorder="1" applyAlignment="1">
      <alignment horizontal="center"/>
    </xf>
    <xf numFmtId="170" fontId="82" fillId="5" borderId="0" xfId="2" applyNumberFormat="1" applyFont="1" applyFill="1" applyBorder="1" applyAlignment="1">
      <alignment horizontal="center"/>
    </xf>
    <xf numFmtId="9" fontId="81" fillId="5" borderId="0" xfId="2" applyNumberFormat="1" applyFont="1" applyFill="1" applyBorder="1" applyAlignment="1">
      <alignment horizontal="center"/>
    </xf>
    <xf numFmtId="165" fontId="82" fillId="15" borderId="0" xfId="0" applyNumberFormat="1" applyFont="1" applyFill="1" applyBorder="1" applyAlignment="1">
      <alignment horizontal="center"/>
    </xf>
    <xf numFmtId="1" fontId="82" fillId="15" borderId="0" xfId="0" applyNumberFormat="1" applyFont="1" applyFill="1" applyBorder="1" applyAlignment="1">
      <alignment horizontal="center"/>
    </xf>
    <xf numFmtId="165" fontId="82" fillId="15" borderId="1" xfId="0" applyNumberFormat="1" applyFont="1" applyFill="1" applyBorder="1" applyAlignment="1">
      <alignment horizontal="center"/>
    </xf>
    <xf numFmtId="2" fontId="43" fillId="2" borderId="66" xfId="2" applyNumberFormat="1" applyFont="1" applyFill="1" applyBorder="1" applyAlignment="1">
      <alignment horizontal="center"/>
    </xf>
    <xf numFmtId="9" fontId="66" fillId="4" borderId="11" xfId="0" applyNumberFormat="1" applyFont="1" applyFill="1" applyBorder="1" applyAlignment="1">
      <alignment horizontal="center"/>
    </xf>
    <xf numFmtId="0" fontId="115" fillId="24" borderId="0" xfId="0" applyFont="1" applyFill="1"/>
    <xf numFmtId="2" fontId="0" fillId="24" borderId="0" xfId="0" applyNumberFormat="1" applyFill="1"/>
    <xf numFmtId="14" fontId="115" fillId="24" borderId="0" xfId="0" applyNumberFormat="1" applyFont="1" applyFill="1"/>
    <xf numFmtId="0" fontId="32" fillId="24" borderId="0" xfId="0" applyFont="1" applyFill="1"/>
    <xf numFmtId="0" fontId="0" fillId="24" borderId="0" xfId="0" applyFill="1"/>
    <xf numFmtId="0" fontId="110" fillId="24" borderId="0" xfId="0" applyFont="1" applyFill="1"/>
    <xf numFmtId="173" fontId="110" fillId="24" borderId="0" xfId="0" applyNumberFormat="1" applyFont="1" applyFill="1"/>
    <xf numFmtId="43" fontId="110" fillId="24" borderId="0" xfId="0" applyNumberFormat="1" applyFont="1" applyFill="1"/>
    <xf numFmtId="167" fontId="118" fillId="24" borderId="0" xfId="3" applyNumberFormat="1" applyFont="1" applyFill="1"/>
    <xf numFmtId="14" fontId="0" fillId="24" borderId="0" xfId="0" applyNumberFormat="1" applyFill="1"/>
    <xf numFmtId="49" fontId="32" fillId="24" borderId="0" xfId="0" applyNumberFormat="1" applyFont="1" applyFill="1"/>
    <xf numFmtId="0" fontId="115" fillId="25" borderId="0" xfId="0" applyFont="1" applyFill="1"/>
    <xf numFmtId="2" fontId="0" fillId="25" borderId="0" xfId="0" applyNumberFormat="1" applyFill="1"/>
    <xf numFmtId="14" fontId="115" fillId="25" borderId="0" xfId="0" applyNumberFormat="1" applyFont="1" applyFill="1"/>
    <xf numFmtId="0" fontId="32" fillId="25" borderId="0" xfId="0" applyFont="1" applyFill="1"/>
    <xf numFmtId="0" fontId="0" fillId="25" borderId="0" xfId="0" applyFill="1"/>
    <xf numFmtId="0" fontId="110" fillId="25" borderId="0" xfId="0" applyFont="1" applyFill="1"/>
    <xf numFmtId="173" fontId="110" fillId="25" borderId="0" xfId="0" applyNumberFormat="1" applyFont="1" applyFill="1"/>
    <xf numFmtId="43" fontId="110" fillId="25" borderId="0" xfId="0" applyNumberFormat="1" applyFont="1" applyFill="1"/>
    <xf numFmtId="167" fontId="118" fillId="25" borderId="0" xfId="3" applyNumberFormat="1" applyFont="1" applyFill="1"/>
    <xf numFmtId="14" fontId="0" fillId="25" borderId="0" xfId="0" applyNumberFormat="1" applyFill="1"/>
    <xf numFmtId="49" fontId="32" fillId="25" borderId="0" xfId="0" applyNumberFormat="1" applyFont="1" applyFill="1"/>
    <xf numFmtId="2" fontId="131" fillId="12" borderId="11" xfId="6" applyNumberFormat="1" applyFont="1" applyBorder="1" applyAlignment="1">
      <alignment horizontal="center"/>
    </xf>
    <xf numFmtId="0" fontId="137" fillId="0" borderId="0" xfId="512" applyFont="1" applyAlignment="1">
      <alignment horizontal="center"/>
    </xf>
    <xf numFmtId="0" fontId="135" fillId="0" borderId="0" xfId="0" applyFont="1"/>
    <xf numFmtId="0" fontId="139" fillId="0" borderId="0" xfId="0" applyFont="1"/>
    <xf numFmtId="0" fontId="0" fillId="0" borderId="0" xfId="0" applyAlignment="1">
      <alignment horizontal="center"/>
    </xf>
    <xf numFmtId="2" fontId="0" fillId="0" borderId="0" xfId="0" applyNumberFormat="1" applyFill="1"/>
    <xf numFmtId="0" fontId="140" fillId="0" borderId="0" xfId="0" applyFont="1"/>
    <xf numFmtId="1" fontId="0" fillId="23" borderId="0" xfId="0" applyNumberFormat="1" applyFill="1"/>
    <xf numFmtId="1" fontId="0" fillId="24" borderId="0" xfId="0" applyNumberFormat="1" applyFill="1"/>
    <xf numFmtId="1" fontId="0" fillId="26" borderId="0" xfId="0" applyNumberFormat="1" applyFill="1"/>
    <xf numFmtId="0" fontId="0" fillId="26" borderId="0" xfId="0" applyFill="1"/>
    <xf numFmtId="0" fontId="136" fillId="0" borderId="0" xfId="0" applyFont="1"/>
    <xf numFmtId="2" fontId="0" fillId="15" borderId="0" xfId="0" applyNumberFormat="1" applyFill="1"/>
    <xf numFmtId="1" fontId="0" fillId="21" borderId="0" xfId="0" applyNumberFormat="1" applyFill="1"/>
    <xf numFmtId="1" fontId="0" fillId="25" borderId="0" xfId="0" applyNumberFormat="1" applyFill="1"/>
    <xf numFmtId="0" fontId="115" fillId="0" borderId="12" xfId="0" applyFont="1" applyBorder="1"/>
    <xf numFmtId="0" fontId="139" fillId="0" borderId="10" xfId="0" applyFont="1" applyBorder="1"/>
    <xf numFmtId="0" fontId="139" fillId="0" borderId="28" xfId="0" applyFont="1" applyBorder="1"/>
    <xf numFmtId="0" fontId="0" fillId="15" borderId="14" xfId="0" applyFill="1" applyBorder="1"/>
    <xf numFmtId="2" fontId="0" fillId="0" borderId="0" xfId="0" applyNumberFormat="1" applyFill="1" applyBorder="1"/>
    <xf numFmtId="2" fontId="0" fillId="0" borderId="15" xfId="0" applyNumberFormat="1" applyFill="1" applyBorder="1"/>
    <xf numFmtId="1" fontId="0" fillId="0" borderId="0" xfId="0" applyNumberFormat="1" applyFill="1" applyBorder="1"/>
    <xf numFmtId="1" fontId="0" fillId="0" borderId="15" xfId="0" applyNumberFormat="1" applyFill="1" applyBorder="1"/>
    <xf numFmtId="0" fontId="0" fillId="0" borderId="14" xfId="0" applyBorder="1"/>
    <xf numFmtId="0" fontId="0" fillId="0" borderId="13" xfId="0" applyBorder="1"/>
    <xf numFmtId="0" fontId="0" fillId="0" borderId="29" xfId="0" applyBorder="1"/>
    <xf numFmtId="1" fontId="0" fillId="0" borderId="0" xfId="0" applyNumberFormat="1" applyBorder="1"/>
    <xf numFmtId="0" fontId="139" fillId="0" borderId="12" xfId="0" applyFont="1" applyBorder="1"/>
    <xf numFmtId="0" fontId="135" fillId="0" borderId="10" xfId="0" applyFont="1" applyBorder="1"/>
    <xf numFmtId="0" fontId="115" fillId="10" borderId="14" xfId="0" applyFont="1" applyFill="1" applyBorder="1"/>
    <xf numFmtId="2" fontId="0" fillId="0" borderId="15" xfId="0" applyNumberFormat="1" applyBorder="1"/>
    <xf numFmtId="0" fontId="110" fillId="10" borderId="14" xfId="0" applyFont="1" applyFill="1" applyBorder="1"/>
    <xf numFmtId="1" fontId="0" fillId="0" borderId="15" xfId="0" applyNumberFormat="1" applyBorder="1"/>
    <xf numFmtId="0" fontId="0" fillId="0" borderId="12" xfId="0" applyBorder="1"/>
    <xf numFmtId="0" fontId="0" fillId="0" borderId="10" xfId="0" applyBorder="1"/>
    <xf numFmtId="0" fontId="0" fillId="0" borderId="28" xfId="0" applyBorder="1"/>
    <xf numFmtId="0" fontId="135" fillId="0" borderId="14" xfId="0" applyFont="1" applyBorder="1"/>
    <xf numFmtId="0" fontId="135" fillId="0" borderId="0" xfId="0" applyFont="1" applyBorder="1"/>
    <xf numFmtId="0" fontId="0" fillId="0" borderId="15" xfId="0" applyBorder="1"/>
    <xf numFmtId="1" fontId="0" fillId="10" borderId="0" xfId="0" applyNumberFormat="1" applyFill="1"/>
    <xf numFmtId="0" fontId="115" fillId="10" borderId="0" xfId="0" applyFont="1" applyFill="1" applyBorder="1"/>
    <xf numFmtId="0" fontId="110" fillId="10" borderId="0" xfId="0" applyFont="1" applyFill="1" applyBorder="1"/>
    <xf numFmtId="0" fontId="43" fillId="10" borderId="0" xfId="0" applyFont="1" applyFill="1" applyBorder="1" applyAlignment="1">
      <alignment horizontal="center" vertical="center"/>
    </xf>
    <xf numFmtId="0" fontId="43" fillId="10" borderId="5" xfId="0" applyFont="1" applyFill="1" applyBorder="1" applyAlignment="1">
      <alignment horizontal="center" vertical="center"/>
    </xf>
    <xf numFmtId="0" fontId="46" fillId="8" borderId="77" xfId="0" applyFont="1" applyFill="1" applyBorder="1" applyAlignment="1">
      <alignment horizontal="center"/>
    </xf>
    <xf numFmtId="0" fontId="46" fillId="8" borderId="68" xfId="0" applyFont="1" applyFill="1" applyBorder="1" applyAlignment="1">
      <alignment horizontal="center"/>
    </xf>
    <xf numFmtId="0" fontId="46" fillId="8" borderId="5" xfId="0" applyFont="1" applyFill="1" applyBorder="1" applyAlignment="1">
      <alignment horizontal="center"/>
    </xf>
    <xf numFmtId="170" fontId="0" fillId="0" borderId="0" xfId="0" applyNumberFormat="1"/>
    <xf numFmtId="0" fontId="127" fillId="27" borderId="0" xfId="0" applyFont="1" applyFill="1"/>
    <xf numFmtId="0" fontId="127" fillId="27" borderId="0" xfId="0" applyFont="1" applyFill="1" applyBorder="1"/>
    <xf numFmtId="1" fontId="127" fillId="27" borderId="0" xfId="0" applyNumberFormat="1" applyFont="1" applyFill="1"/>
    <xf numFmtId="0" fontId="127" fillId="27" borderId="2" xfId="0" applyFont="1" applyFill="1" applyBorder="1"/>
    <xf numFmtId="1" fontId="142" fillId="0" borderId="0" xfId="0" applyNumberFormat="1" applyFont="1"/>
    <xf numFmtId="1" fontId="129" fillId="0" borderId="0" xfId="0" applyNumberFormat="1" applyFont="1"/>
    <xf numFmtId="0" fontId="143" fillId="0" borderId="0" xfId="512" applyFont="1"/>
    <xf numFmtId="164" fontId="46" fillId="0" borderId="0" xfId="512" applyNumberFormat="1" applyFont="1"/>
    <xf numFmtId="179" fontId="103" fillId="0" borderId="0" xfId="512" applyNumberFormat="1" applyFont="1"/>
    <xf numFmtId="1" fontId="0" fillId="0" borderId="0" xfId="0" applyNumberFormat="1"/>
    <xf numFmtId="0" fontId="144" fillId="0" borderId="0" xfId="0" applyFont="1"/>
    <xf numFmtId="0" fontId="145" fillId="0" borderId="10" xfId="0" applyFont="1" applyBorder="1"/>
    <xf numFmtId="0" fontId="146" fillId="0" borderId="10" xfId="0" applyFont="1" applyBorder="1"/>
    <xf numFmtId="0" fontId="147" fillId="10" borderId="14" xfId="0" applyFont="1" applyFill="1" applyBorder="1"/>
    <xf numFmtId="165" fontId="144" fillId="0" borderId="0" xfId="0" applyNumberFormat="1" applyFont="1"/>
    <xf numFmtId="0" fontId="148" fillId="0" borderId="0" xfId="13" applyFont="1" applyFill="1" applyBorder="1"/>
    <xf numFmtId="0" fontId="29" fillId="0" borderId="0" xfId="13" applyFill="1" applyBorder="1"/>
    <xf numFmtId="0" fontId="81" fillId="0" borderId="0" xfId="0" applyFont="1" applyFill="1" applyBorder="1"/>
    <xf numFmtId="0" fontId="81" fillId="0" borderId="0" xfId="0" applyFont="1" applyFill="1" applyBorder="1" applyAlignment="1">
      <alignment horizontal="center" vertical="center" wrapText="1"/>
    </xf>
    <xf numFmtId="0" fontId="119" fillId="4" borderId="0" xfId="0" applyFont="1" applyFill="1" applyAlignment="1">
      <alignment horizontal="left"/>
    </xf>
    <xf numFmtId="0" fontId="77" fillId="13" borderId="18" xfId="0" applyFont="1" applyFill="1" applyBorder="1" applyAlignment="1">
      <alignment horizontal="center" vertical="center" wrapText="1"/>
    </xf>
    <xf numFmtId="0" fontId="77" fillId="13" borderId="8" xfId="0" applyFont="1" applyFill="1" applyBorder="1" applyAlignment="1">
      <alignment horizontal="center" vertical="center" wrapText="1"/>
    </xf>
    <xf numFmtId="0" fontId="77" fillId="13" borderId="7" xfId="0" applyFont="1" applyFill="1" applyBorder="1" applyAlignment="1">
      <alignment horizontal="center" vertical="center" wrapText="1"/>
    </xf>
    <xf numFmtId="0" fontId="74" fillId="4" borderId="0" xfId="0" applyFont="1" applyFill="1" applyBorder="1" applyAlignment="1">
      <alignment horizontal="right" vertical="center"/>
    </xf>
    <xf numFmtId="0" fontId="74" fillId="4" borderId="0" xfId="0" applyFont="1" applyFill="1" applyBorder="1" applyAlignment="1">
      <alignment horizontal="center" vertical="center"/>
    </xf>
    <xf numFmtId="9" fontId="79" fillId="7" borderId="20" xfId="0" applyNumberFormat="1" applyFont="1" applyFill="1" applyBorder="1" applyAlignment="1">
      <alignment horizontal="center"/>
    </xf>
    <xf numFmtId="9" fontId="79" fillId="7" borderId="34" xfId="0" applyNumberFormat="1" applyFont="1" applyFill="1" applyBorder="1" applyAlignment="1">
      <alignment horizontal="center"/>
    </xf>
    <xf numFmtId="0" fontId="79" fillId="10" borderId="6" xfId="0" applyFont="1" applyFill="1" applyBorder="1" applyAlignment="1">
      <alignment horizontal="center" wrapText="1"/>
    </xf>
    <xf numFmtId="0" fontId="79" fillId="10" borderId="7" xfId="0" applyFont="1" applyFill="1" applyBorder="1" applyAlignment="1">
      <alignment horizontal="center" wrapText="1"/>
    </xf>
    <xf numFmtId="165" fontId="66" fillId="4" borderId="3" xfId="0" applyNumberFormat="1" applyFont="1" applyFill="1" applyBorder="1" applyAlignment="1">
      <alignment horizontal="center"/>
    </xf>
    <xf numFmtId="165" fontId="66" fillId="4" borderId="9" xfId="0" applyNumberFormat="1" applyFont="1" applyFill="1" applyBorder="1" applyAlignment="1">
      <alignment horizontal="center"/>
    </xf>
    <xf numFmtId="0" fontId="36" fillId="2" borderId="0" xfId="0" applyFont="1" applyFill="1" applyBorder="1" applyAlignment="1">
      <alignment horizontal="center"/>
    </xf>
    <xf numFmtId="0" fontId="78" fillId="4" borderId="3" xfId="0" applyFont="1" applyFill="1" applyBorder="1" applyAlignment="1">
      <alignment horizontal="center"/>
    </xf>
    <xf numFmtId="0" fontId="78" fillId="4" borderId="9" xfId="0" applyFont="1" applyFill="1" applyBorder="1" applyAlignment="1">
      <alignment horizontal="center"/>
    </xf>
    <xf numFmtId="0" fontId="79" fillId="10" borderId="6" xfId="0" applyFont="1" applyFill="1" applyBorder="1" applyAlignment="1">
      <alignment horizontal="center"/>
    </xf>
    <xf numFmtId="0" fontId="79" fillId="10" borderId="7" xfId="0" applyFont="1" applyFill="1" applyBorder="1" applyAlignment="1">
      <alignment horizontal="center"/>
    </xf>
    <xf numFmtId="169" fontId="90" fillId="11" borderId="0" xfId="3" applyNumberFormat="1" applyFont="1" applyFill="1" applyBorder="1" applyAlignment="1">
      <alignment horizontal="center"/>
    </xf>
    <xf numFmtId="170" fontId="36" fillId="11" borderId="0" xfId="0" applyNumberFormat="1" applyFont="1" applyFill="1" applyBorder="1" applyAlignment="1">
      <alignment horizontal="center"/>
    </xf>
    <xf numFmtId="9" fontId="79" fillId="7" borderId="21" xfId="0" applyNumberFormat="1" applyFont="1" applyFill="1" applyBorder="1" applyAlignment="1">
      <alignment horizontal="center"/>
    </xf>
    <xf numFmtId="0" fontId="73" fillId="13" borderId="12" xfId="0" applyFont="1" applyFill="1" applyBorder="1" applyAlignment="1">
      <alignment horizontal="center" vertical="center" wrapText="1"/>
    </xf>
    <xf numFmtId="0" fontId="73" fillId="13" borderId="10" xfId="0" applyFont="1" applyFill="1" applyBorder="1" applyAlignment="1">
      <alignment horizontal="center" vertical="center" wrapText="1"/>
    </xf>
    <xf numFmtId="0" fontId="73" fillId="13" borderId="13" xfId="0" applyFont="1" applyFill="1" applyBorder="1" applyAlignment="1">
      <alignment horizontal="center" vertical="center" wrapText="1"/>
    </xf>
    <xf numFmtId="0" fontId="73" fillId="13" borderId="1" xfId="0" applyFont="1" applyFill="1" applyBorder="1" applyAlignment="1">
      <alignment horizontal="center" vertical="center" wrapText="1"/>
    </xf>
    <xf numFmtId="165" fontId="66" fillId="15" borderId="3" xfId="0" applyNumberFormat="1" applyFont="1" applyFill="1" applyBorder="1" applyAlignment="1">
      <alignment horizontal="center"/>
    </xf>
    <xf numFmtId="165" fontId="66" fillId="15" borderId="9" xfId="0" applyNumberFormat="1" applyFont="1" applyFill="1" applyBorder="1" applyAlignment="1">
      <alignment horizontal="center"/>
    </xf>
    <xf numFmtId="165" fontId="86" fillId="12" borderId="3" xfId="6" applyNumberFormat="1" applyFont="1" applyBorder="1" applyAlignment="1">
      <alignment horizontal="center"/>
    </xf>
    <xf numFmtId="165" fontId="86" fillId="12" borderId="9" xfId="6" applyNumberFormat="1" applyFont="1" applyBorder="1" applyAlignment="1">
      <alignment horizontal="center"/>
    </xf>
    <xf numFmtId="2" fontId="66" fillId="5" borderId="35" xfId="2" applyNumberFormat="1" applyFont="1" applyFill="1" applyBorder="1" applyAlignment="1">
      <alignment horizontal="center"/>
    </xf>
    <xf numFmtId="2" fontId="66" fillId="5" borderId="18" xfId="2" applyNumberFormat="1" applyFont="1" applyFill="1" applyBorder="1" applyAlignment="1">
      <alignment horizontal="center"/>
    </xf>
    <xf numFmtId="0" fontId="76" fillId="4" borderId="0" xfId="0" applyFont="1" applyFill="1" applyAlignment="1">
      <alignment horizontal="center" vertical="center"/>
    </xf>
    <xf numFmtId="0" fontId="141" fillId="16" borderId="3" xfId="0" applyFont="1" applyFill="1" applyBorder="1" applyAlignment="1">
      <alignment horizontal="center" wrapText="1"/>
    </xf>
    <xf numFmtId="0" fontId="141" fillId="16" borderId="57" xfId="0" applyFont="1" applyFill="1" applyBorder="1" applyAlignment="1">
      <alignment horizontal="center" wrapText="1"/>
    </xf>
    <xf numFmtId="0" fontId="73" fillId="13" borderId="35" xfId="0" applyFont="1" applyFill="1" applyBorder="1" applyAlignment="1">
      <alignment horizontal="center" vertical="center" wrapText="1"/>
    </xf>
    <xf numFmtId="0" fontId="73" fillId="13" borderId="17" xfId="0" applyFont="1" applyFill="1" applyBorder="1" applyAlignment="1">
      <alignment horizontal="center" vertical="center" wrapText="1"/>
    </xf>
    <xf numFmtId="0" fontId="73" fillId="13" borderId="6" xfId="0" applyFont="1" applyFill="1" applyBorder="1" applyAlignment="1">
      <alignment horizontal="center" vertical="center" wrapText="1"/>
    </xf>
    <xf numFmtId="0" fontId="73" fillId="13" borderId="5" xfId="0" applyFont="1" applyFill="1" applyBorder="1" applyAlignment="1">
      <alignment horizontal="center" vertical="center" wrapText="1"/>
    </xf>
    <xf numFmtId="165" fontId="66" fillId="4" borderId="3" xfId="2" applyNumberFormat="1" applyFont="1" applyFill="1" applyBorder="1" applyAlignment="1">
      <alignment horizontal="center"/>
    </xf>
    <xf numFmtId="165" fontId="66" fillId="4" borderId="9" xfId="2" applyNumberFormat="1" applyFont="1" applyFill="1" applyBorder="1" applyAlignment="1">
      <alignment horizontal="center"/>
    </xf>
    <xf numFmtId="3" fontId="77" fillId="5" borderId="68" xfId="2" applyNumberFormat="1" applyFont="1" applyFill="1" applyBorder="1" applyAlignment="1">
      <alignment horizontal="center"/>
    </xf>
    <xf numFmtId="3" fontId="77" fillId="5" borderId="9" xfId="2" applyNumberFormat="1" applyFont="1" applyFill="1" applyBorder="1" applyAlignment="1">
      <alignment horizontal="center"/>
    </xf>
    <xf numFmtId="3" fontId="77" fillId="5" borderId="67" xfId="2" applyNumberFormat="1" applyFont="1" applyFill="1" applyBorder="1" applyAlignment="1">
      <alignment horizontal="center"/>
    </xf>
    <xf numFmtId="0" fontId="43" fillId="0" borderId="51" xfId="0" applyFont="1" applyBorder="1" applyAlignment="1">
      <alignment horizontal="center"/>
    </xf>
    <xf numFmtId="0" fontId="43" fillId="0" borderId="49" xfId="0" applyFont="1" applyBorder="1" applyAlignment="1">
      <alignment horizontal="center"/>
    </xf>
    <xf numFmtId="9" fontId="77" fillId="5" borderId="51" xfId="2" applyFont="1" applyFill="1" applyBorder="1" applyAlignment="1">
      <alignment horizontal="center"/>
    </xf>
    <xf numFmtId="9" fontId="77" fillId="5" borderId="50" xfId="2" applyFont="1" applyFill="1" applyBorder="1" applyAlignment="1">
      <alignment horizontal="center"/>
    </xf>
    <xf numFmtId="0" fontId="89" fillId="14" borderId="28" xfId="0" applyFont="1" applyFill="1" applyBorder="1" applyAlignment="1">
      <alignment horizontal="center" vertical="center"/>
    </xf>
    <xf numFmtId="0" fontId="89" fillId="14" borderId="15" xfId="0" applyFont="1" applyFill="1" applyBorder="1" applyAlignment="1">
      <alignment horizontal="center" vertical="center"/>
    </xf>
    <xf numFmtId="2" fontId="82" fillId="5" borderId="45" xfId="2" applyNumberFormat="1" applyFont="1" applyFill="1" applyBorder="1" applyAlignment="1">
      <alignment horizontal="center"/>
    </xf>
    <xf numFmtId="2" fontId="82" fillId="5" borderId="50" xfId="2" applyNumberFormat="1" applyFont="1" applyFill="1" applyBorder="1" applyAlignment="1">
      <alignment horizontal="center"/>
    </xf>
    <xf numFmtId="0" fontId="53" fillId="0" borderId="45" xfId="0" applyFont="1" applyBorder="1" applyAlignment="1">
      <alignment horizontal="center" vertical="center"/>
    </xf>
    <xf numFmtId="0" fontId="53" fillId="0" borderId="51" xfId="0" applyFont="1" applyBorder="1" applyAlignment="1">
      <alignment horizontal="center" vertical="center"/>
    </xf>
    <xf numFmtId="0" fontId="53" fillId="14" borderId="51" xfId="0" applyFont="1" applyFill="1" applyBorder="1" applyAlignment="1">
      <alignment horizontal="center" vertical="center"/>
    </xf>
    <xf numFmtId="2" fontId="82" fillId="5" borderId="65" xfId="2" applyNumberFormat="1" applyFont="1" applyFill="1" applyBorder="1" applyAlignment="1">
      <alignment horizontal="center"/>
    </xf>
    <xf numFmtId="2" fontId="82" fillId="5" borderId="49" xfId="2" applyNumberFormat="1" applyFont="1" applyFill="1" applyBorder="1" applyAlignment="1">
      <alignment horizontal="center"/>
    </xf>
    <xf numFmtId="0" fontId="53" fillId="5" borderId="51" xfId="0" applyFont="1" applyFill="1" applyBorder="1" applyAlignment="1">
      <alignment horizontal="center" vertical="center"/>
    </xf>
    <xf numFmtId="0" fontId="81" fillId="14" borderId="12" xfId="0" applyFont="1" applyFill="1" applyBorder="1" applyAlignment="1">
      <alignment horizontal="center" vertical="center"/>
    </xf>
    <xf numFmtId="0" fontId="81" fillId="14" borderId="10" xfId="0" applyFont="1" applyFill="1" applyBorder="1" applyAlignment="1">
      <alignment horizontal="center" vertical="center"/>
    </xf>
    <xf numFmtId="0" fontId="81" fillId="14" borderId="13" xfId="0" applyFont="1" applyFill="1" applyBorder="1" applyAlignment="1">
      <alignment horizontal="center" vertical="center"/>
    </xf>
    <xf numFmtId="0" fontId="81" fillId="14" borderId="1" xfId="0" applyFont="1" applyFill="1" applyBorder="1" applyAlignment="1">
      <alignment horizontal="center" vertical="center"/>
    </xf>
    <xf numFmtId="0" fontId="77" fillId="14" borderId="3" xfId="0" applyFont="1" applyFill="1" applyBorder="1" applyAlignment="1">
      <alignment horizontal="center" wrapText="1"/>
    </xf>
    <xf numFmtId="0" fontId="77" fillId="14" borderId="9" xfId="0" applyFont="1" applyFill="1" applyBorder="1" applyAlignment="1">
      <alignment horizontal="center" wrapText="1"/>
    </xf>
    <xf numFmtId="2" fontId="82" fillId="5" borderId="51" xfId="2" applyNumberFormat="1" applyFont="1" applyFill="1" applyBorder="1" applyAlignment="1">
      <alignment horizontal="center"/>
    </xf>
    <xf numFmtId="0" fontId="85" fillId="13" borderId="12" xfId="0" applyFont="1" applyFill="1" applyBorder="1" applyAlignment="1">
      <alignment horizontal="center" vertical="center" wrapText="1"/>
    </xf>
    <xf numFmtId="0" fontId="85" fillId="13" borderId="28" xfId="0" applyFont="1" applyFill="1" applyBorder="1" applyAlignment="1">
      <alignment horizontal="center" vertical="center" wrapText="1"/>
    </xf>
    <xf numFmtId="0" fontId="85" fillId="13" borderId="13" xfId="0" applyFont="1" applyFill="1" applyBorder="1" applyAlignment="1">
      <alignment horizontal="center" vertical="center" wrapText="1"/>
    </xf>
    <xf numFmtId="0" fontId="85" fillId="13" borderId="29" xfId="0" applyFont="1" applyFill="1" applyBorder="1" applyAlignment="1">
      <alignment horizontal="center" vertical="center" wrapText="1"/>
    </xf>
    <xf numFmtId="9" fontId="77" fillId="5" borderId="12" xfId="2" applyFont="1" applyFill="1" applyBorder="1" applyAlignment="1">
      <alignment horizontal="center"/>
    </xf>
    <xf numFmtId="9" fontId="77" fillId="5" borderId="10" xfId="2" applyFont="1" applyFill="1" applyBorder="1" applyAlignment="1">
      <alignment horizontal="center"/>
    </xf>
    <xf numFmtId="165" fontId="96" fillId="12" borderId="3" xfId="6" applyNumberFormat="1" applyFont="1" applyBorder="1" applyAlignment="1">
      <alignment horizontal="center"/>
    </xf>
    <xf numFmtId="165" fontId="96" fillId="12" borderId="9" xfId="6" applyNumberFormat="1" applyFont="1" applyBorder="1" applyAlignment="1">
      <alignment horizontal="center"/>
    </xf>
    <xf numFmtId="167" fontId="77" fillId="5" borderId="3" xfId="3" applyNumberFormat="1" applyFont="1" applyFill="1" applyBorder="1" applyAlignment="1">
      <alignment horizontal="center"/>
    </xf>
    <xf numFmtId="167" fontId="77" fillId="5" borderId="9" xfId="3" applyNumberFormat="1" applyFont="1" applyFill="1" applyBorder="1" applyAlignment="1">
      <alignment horizontal="center"/>
    </xf>
    <xf numFmtId="3" fontId="77" fillId="5" borderId="3" xfId="2" applyNumberFormat="1" applyFont="1" applyFill="1" applyBorder="1" applyAlignment="1">
      <alignment horizontal="center"/>
    </xf>
    <xf numFmtId="0" fontId="108" fillId="16" borderId="20" xfId="0" applyFont="1" applyFill="1" applyBorder="1" applyAlignment="1">
      <alignment horizontal="center" wrapText="1"/>
    </xf>
    <xf numFmtId="0" fontId="108" fillId="16" borderId="24" xfId="0" applyFont="1" applyFill="1" applyBorder="1" applyAlignment="1">
      <alignment horizontal="center" wrapText="1"/>
    </xf>
    <xf numFmtId="0" fontId="79" fillId="10" borderId="3" xfId="0" applyFont="1" applyFill="1" applyBorder="1" applyAlignment="1">
      <alignment horizontal="center"/>
    </xf>
    <xf numFmtId="0" fontId="79" fillId="10" borderId="9" xfId="0" applyFont="1" applyFill="1" applyBorder="1" applyAlignment="1">
      <alignment horizontal="center"/>
    </xf>
    <xf numFmtId="0" fontId="73" fillId="13" borderId="0" xfId="0" applyFont="1" applyFill="1" applyBorder="1" applyAlignment="1">
      <alignment horizontal="center" vertical="center" wrapText="1"/>
    </xf>
    <xf numFmtId="0" fontId="79" fillId="10" borderId="3" xfId="0" applyFont="1" applyFill="1" applyBorder="1" applyAlignment="1">
      <alignment horizontal="center" wrapText="1"/>
    </xf>
    <xf numFmtId="0" fontId="79" fillId="10" borderId="9" xfId="0" applyFont="1" applyFill="1" applyBorder="1" applyAlignment="1">
      <alignment horizontal="center" wrapText="1"/>
    </xf>
    <xf numFmtId="0" fontId="45" fillId="13" borderId="35" xfId="0" applyFont="1" applyFill="1" applyBorder="1" applyAlignment="1">
      <alignment horizontal="center" vertical="center" wrapText="1"/>
    </xf>
    <xf numFmtId="0" fontId="45" fillId="13" borderId="17" xfId="0" applyFont="1" applyFill="1" applyBorder="1" applyAlignment="1">
      <alignment horizontal="center" vertical="center" wrapText="1"/>
    </xf>
    <xf numFmtId="0" fontId="45" fillId="13" borderId="18" xfId="0" applyFont="1" applyFill="1" applyBorder="1" applyAlignment="1">
      <alignment horizontal="center" vertical="center" wrapText="1"/>
    </xf>
    <xf numFmtId="0" fontId="45" fillId="13" borderId="6" xfId="0" applyFont="1" applyFill="1" applyBorder="1" applyAlignment="1">
      <alignment horizontal="center" vertical="center" wrapText="1"/>
    </xf>
    <xf numFmtId="0" fontId="45" fillId="13" borderId="5" xfId="0" applyFont="1" applyFill="1" applyBorder="1" applyAlignment="1">
      <alignment horizontal="center" vertical="center" wrapText="1"/>
    </xf>
    <xf numFmtId="0" fontId="45" fillId="13" borderId="7" xfId="0" applyFont="1" applyFill="1" applyBorder="1" applyAlignment="1">
      <alignment horizontal="center" vertical="center" wrapText="1"/>
    </xf>
    <xf numFmtId="0" fontId="141" fillId="16" borderId="20" xfId="0" applyFont="1" applyFill="1" applyBorder="1" applyAlignment="1">
      <alignment horizontal="center" wrapText="1"/>
    </xf>
    <xf numFmtId="0" fontId="141" fillId="16" borderId="24" xfId="0" applyFont="1" applyFill="1" applyBorder="1" applyAlignment="1">
      <alignment horizontal="center" wrapText="1"/>
    </xf>
    <xf numFmtId="0" fontId="114" fillId="4" borderId="11" xfId="0" applyFont="1" applyFill="1" applyBorder="1" applyAlignment="1">
      <alignment horizontal="center"/>
    </xf>
    <xf numFmtId="2" fontId="83" fillId="12" borderId="68" xfId="6" applyNumberFormat="1" applyFont="1" applyBorder="1" applyAlignment="1">
      <alignment horizontal="center"/>
    </xf>
    <xf numFmtId="2" fontId="83" fillId="12" borderId="9" xfId="6" applyNumberFormat="1" applyFont="1" applyBorder="1" applyAlignment="1">
      <alignment horizontal="center"/>
    </xf>
    <xf numFmtId="2" fontId="59" fillId="12" borderId="0" xfId="6" applyNumberFormat="1" applyBorder="1" applyAlignment="1">
      <alignment horizontal="center"/>
    </xf>
    <xf numFmtId="166" fontId="5" fillId="0" borderId="0" xfId="161" applyNumberFormat="1" applyFont="1" applyAlignment="1">
      <alignment horizontal="center"/>
    </xf>
    <xf numFmtId="166" fontId="21" fillId="0" borderId="0" xfId="161" applyNumberFormat="1" applyAlignment="1">
      <alignment horizontal="center"/>
    </xf>
    <xf numFmtId="0" fontId="21" fillId="0" borderId="0" xfId="161" applyAlignment="1">
      <alignment horizontal="center" vertical="center" textRotation="90"/>
    </xf>
    <xf numFmtId="165" fontId="82" fillId="15" borderId="11" xfId="0" applyNumberFormat="1" applyFont="1" applyFill="1" applyBorder="1" applyAlignment="1">
      <alignment horizontal="center"/>
    </xf>
    <xf numFmtId="0" fontId="81" fillId="13" borderId="12" xfId="0" applyFont="1" applyFill="1" applyBorder="1" applyAlignment="1">
      <alignment horizontal="center" vertical="center" wrapText="1"/>
    </xf>
    <xf numFmtId="0" fontId="81" fillId="13" borderId="14" xfId="0" applyFont="1" applyFill="1" applyBorder="1" applyAlignment="1">
      <alignment horizontal="center" vertical="center" wrapText="1"/>
    </xf>
    <xf numFmtId="165" fontId="59" fillId="12" borderId="25" xfId="6" applyNumberFormat="1" applyAlignment="1">
      <alignment horizontal="center"/>
    </xf>
    <xf numFmtId="0" fontId="21" fillId="0" borderId="0" xfId="161" applyBorder="1" applyAlignment="1">
      <alignment horizontal="center" vertical="center" textRotation="90"/>
    </xf>
    <xf numFmtId="165" fontId="59" fillId="12" borderId="62" xfId="6" applyNumberFormat="1" applyBorder="1" applyAlignment="1">
      <alignment horizontal="center"/>
    </xf>
    <xf numFmtId="165" fontId="59" fillId="12" borderId="64" xfId="6" applyNumberFormat="1" applyBorder="1" applyAlignment="1">
      <alignment horizontal="center"/>
    </xf>
    <xf numFmtId="0" fontId="116" fillId="0" borderId="5" xfId="0" applyFont="1" applyFill="1" applyBorder="1" applyAlignment="1">
      <alignment horizontal="center"/>
    </xf>
    <xf numFmtId="0" fontId="81" fillId="13" borderId="13" xfId="0" applyFont="1" applyFill="1" applyBorder="1" applyAlignment="1">
      <alignment horizontal="center" vertical="center" wrapText="1"/>
    </xf>
    <xf numFmtId="165" fontId="82" fillId="0" borderId="38" xfId="0" applyNumberFormat="1" applyFont="1" applyBorder="1" applyAlignment="1">
      <alignment horizontal="center"/>
    </xf>
    <xf numFmtId="0" fontId="82" fillId="0" borderId="38" xfId="0" applyFont="1" applyBorder="1" applyAlignment="1">
      <alignment horizontal="center"/>
    </xf>
    <xf numFmtId="165" fontId="82" fillId="15" borderId="38" xfId="0" applyNumberFormat="1" applyFont="1" applyFill="1" applyBorder="1" applyAlignment="1">
      <alignment horizontal="center"/>
    </xf>
    <xf numFmtId="165" fontId="82" fillId="15" borderId="39" xfId="0" applyNumberFormat="1" applyFont="1" applyFill="1" applyBorder="1" applyAlignment="1">
      <alignment horizontal="center"/>
    </xf>
    <xf numFmtId="165" fontId="82" fillId="0" borderId="11" xfId="0" applyNumberFormat="1" applyFont="1" applyBorder="1" applyAlignment="1">
      <alignment horizontal="center"/>
    </xf>
    <xf numFmtId="0" fontId="82" fillId="0" borderId="11" xfId="0" applyFont="1" applyBorder="1" applyAlignment="1">
      <alignment horizontal="center"/>
    </xf>
    <xf numFmtId="165" fontId="82" fillId="15" borderId="19" xfId="0" applyNumberFormat="1" applyFont="1" applyFill="1" applyBorder="1" applyAlignment="1">
      <alignment horizontal="center"/>
    </xf>
    <xf numFmtId="1" fontId="82" fillId="0" borderId="11" xfId="0" applyNumberFormat="1" applyFont="1" applyBorder="1" applyAlignment="1">
      <alignment horizontal="center"/>
    </xf>
    <xf numFmtId="1" fontId="82" fillId="15" borderId="11" xfId="0" applyNumberFormat="1" applyFont="1" applyFill="1" applyBorder="1" applyAlignment="1">
      <alignment horizontal="center"/>
    </xf>
    <xf numFmtId="1" fontId="82" fillId="15" borderId="19" xfId="0" applyNumberFormat="1" applyFont="1" applyFill="1" applyBorder="1" applyAlignment="1">
      <alignment horizontal="center"/>
    </xf>
    <xf numFmtId="1" fontId="82" fillId="0" borderId="3" xfId="0" applyNumberFormat="1" applyFont="1" applyBorder="1" applyAlignment="1">
      <alignment horizontal="center"/>
    </xf>
    <xf numFmtId="1" fontId="82" fillId="0" borderId="9" xfId="0" applyNumberFormat="1" applyFont="1" applyBorder="1" applyAlignment="1">
      <alignment horizontal="center"/>
    </xf>
    <xf numFmtId="1" fontId="82" fillId="15" borderId="3" xfId="0" applyNumberFormat="1" applyFont="1" applyFill="1" applyBorder="1" applyAlignment="1">
      <alignment horizontal="center"/>
    </xf>
    <xf numFmtId="1" fontId="82" fillId="15" borderId="9" xfId="0" applyNumberFormat="1" applyFont="1" applyFill="1" applyBorder="1" applyAlignment="1">
      <alignment horizontal="center"/>
    </xf>
    <xf numFmtId="165" fontId="82" fillId="0" borderId="40" xfId="0" applyNumberFormat="1" applyFont="1" applyBorder="1" applyAlignment="1">
      <alignment horizontal="center"/>
    </xf>
    <xf numFmtId="0" fontId="82" fillId="0" borderId="40" xfId="0" applyFont="1" applyBorder="1" applyAlignment="1">
      <alignment horizontal="center"/>
    </xf>
    <xf numFmtId="165" fontId="82" fillId="15" borderId="40" xfId="0" applyNumberFormat="1" applyFont="1" applyFill="1" applyBorder="1" applyAlignment="1">
      <alignment horizontal="center"/>
    </xf>
    <xf numFmtId="165" fontId="82" fillId="15" borderId="41" xfId="0" applyNumberFormat="1" applyFont="1" applyFill="1" applyBorder="1" applyAlignment="1">
      <alignment horizontal="center"/>
    </xf>
    <xf numFmtId="1" fontId="59" fillId="12" borderId="25" xfId="6" applyNumberFormat="1" applyAlignment="1">
      <alignment horizontal="center"/>
    </xf>
    <xf numFmtId="165" fontId="82" fillId="15" borderId="20" xfId="0" applyNumberFormat="1" applyFont="1" applyFill="1" applyBorder="1" applyAlignment="1">
      <alignment horizontal="center"/>
    </xf>
    <xf numFmtId="165" fontId="82" fillId="15" borderId="21" xfId="0" applyNumberFormat="1" applyFont="1" applyFill="1" applyBorder="1" applyAlignment="1">
      <alignment horizontal="center"/>
    </xf>
    <xf numFmtId="165" fontId="82" fillId="15" borderId="3" xfId="0" applyNumberFormat="1" applyFont="1" applyFill="1" applyBorder="1" applyAlignment="1">
      <alignment horizontal="center"/>
    </xf>
    <xf numFmtId="165" fontId="82" fillId="15" borderId="9" xfId="0" applyNumberFormat="1" applyFont="1" applyFill="1" applyBorder="1" applyAlignment="1">
      <alignment horizontal="center"/>
    </xf>
    <xf numFmtId="1" fontId="82" fillId="15" borderId="42" xfId="0" applyNumberFormat="1" applyFont="1" applyFill="1" applyBorder="1" applyAlignment="1">
      <alignment horizontal="center"/>
    </xf>
    <xf numFmtId="0" fontId="45" fillId="13" borderId="12" xfId="0" applyFont="1" applyFill="1" applyBorder="1" applyAlignment="1">
      <alignment horizontal="center" wrapText="1"/>
    </xf>
    <xf numFmtId="0" fontId="45" fillId="13" borderId="28" xfId="0" applyFont="1" applyFill="1" applyBorder="1" applyAlignment="1">
      <alignment horizontal="center" wrapText="1"/>
    </xf>
    <xf numFmtId="0" fontId="45" fillId="13" borderId="13" xfId="0" applyFont="1" applyFill="1" applyBorder="1" applyAlignment="1">
      <alignment horizontal="center" wrapText="1"/>
    </xf>
    <xf numFmtId="0" fontId="45" fillId="13" borderId="29" xfId="0" applyFont="1" applyFill="1" applyBorder="1" applyAlignment="1">
      <alignment horizontal="center" wrapText="1"/>
    </xf>
    <xf numFmtId="165" fontId="59" fillId="12" borderId="75" xfId="6" applyNumberFormat="1" applyBorder="1" applyAlignment="1">
      <alignment horizontal="center"/>
    </xf>
    <xf numFmtId="165" fontId="59" fillId="12" borderId="76" xfId="6" applyNumberFormat="1" applyBorder="1" applyAlignment="1">
      <alignment horizontal="center"/>
    </xf>
    <xf numFmtId="2" fontId="121" fillId="12" borderId="25" xfId="6" applyNumberFormat="1" applyFont="1" applyAlignment="1">
      <alignment horizontal="center" wrapText="1"/>
    </xf>
    <xf numFmtId="0" fontId="121" fillId="12" borderId="25" xfId="6" applyFont="1" applyAlignment="1">
      <alignment horizontal="center" wrapText="1"/>
    </xf>
    <xf numFmtId="0" fontId="59" fillId="12" borderId="25" xfId="6" applyAlignment="1">
      <alignment horizontal="center" wrapText="1"/>
    </xf>
    <xf numFmtId="0" fontId="108" fillId="16" borderId="3" xfId="0" applyFont="1" applyFill="1" applyBorder="1" applyAlignment="1">
      <alignment horizontal="center" wrapText="1"/>
    </xf>
    <xf numFmtId="0" fontId="108" fillId="16" borderId="57" xfId="0" applyFont="1" applyFill="1" applyBorder="1" applyAlignment="1">
      <alignment horizontal="center" wrapText="1"/>
    </xf>
    <xf numFmtId="0" fontId="45" fillId="13" borderId="13" xfId="0" applyFont="1" applyFill="1" applyBorder="1" applyAlignment="1">
      <alignment horizontal="right" wrapText="1"/>
    </xf>
    <xf numFmtId="0" fontId="45" fillId="13" borderId="53" xfId="0" applyFont="1" applyFill="1" applyBorder="1" applyAlignment="1">
      <alignment horizontal="right" wrapText="1"/>
    </xf>
    <xf numFmtId="0" fontId="81" fillId="0" borderId="0" xfId="0" applyFont="1" applyFill="1" applyBorder="1" applyAlignment="1">
      <alignment horizontal="center" vertical="center" wrapText="1"/>
    </xf>
    <xf numFmtId="0" fontId="117" fillId="19" borderId="35" xfId="408" applyBorder="1" applyAlignment="1">
      <alignment horizontal="center" vertical="center"/>
    </xf>
    <xf numFmtId="0" fontId="117" fillId="19" borderId="17" xfId="408" applyBorder="1" applyAlignment="1">
      <alignment horizontal="center" vertical="center"/>
    </xf>
    <xf numFmtId="0" fontId="117" fillId="19" borderId="6" xfId="408" applyBorder="1" applyAlignment="1">
      <alignment horizontal="center" vertical="center"/>
    </xf>
    <xf numFmtId="0" fontId="117" fillId="19" borderId="5" xfId="408" applyBorder="1" applyAlignment="1">
      <alignment horizontal="center" vertical="center"/>
    </xf>
    <xf numFmtId="2" fontId="117" fillId="19" borderId="17" xfId="408" applyNumberFormat="1" applyBorder="1" applyAlignment="1">
      <alignment horizontal="center" vertical="center"/>
    </xf>
    <xf numFmtId="2" fontId="117" fillId="19" borderId="18" xfId="408" applyNumberFormat="1" applyBorder="1" applyAlignment="1">
      <alignment horizontal="center" vertical="center"/>
    </xf>
    <xf numFmtId="2" fontId="117" fillId="19" borderId="5" xfId="408" applyNumberFormat="1" applyBorder="1" applyAlignment="1">
      <alignment horizontal="center" vertical="center"/>
    </xf>
    <xf numFmtId="2" fontId="117" fillId="19" borderId="7" xfId="408" applyNumberFormat="1" applyBorder="1" applyAlignment="1">
      <alignment horizontal="center" vertical="center"/>
    </xf>
    <xf numFmtId="0" fontId="32" fillId="0" borderId="0" xfId="0" applyFont="1" applyBorder="1" applyAlignment="1">
      <alignment horizontal="center" wrapText="1"/>
    </xf>
    <xf numFmtId="0" fontId="32" fillId="0" borderId="0" xfId="0" applyFont="1" applyBorder="1" applyAlignment="1">
      <alignment horizontal="center"/>
    </xf>
    <xf numFmtId="0" fontId="0" fillId="0" borderId="67" xfId="0" applyBorder="1" applyAlignment="1">
      <alignment horizontal="center"/>
    </xf>
    <xf numFmtId="0" fontId="53" fillId="4" borderId="36" xfId="0" applyFont="1" applyFill="1" applyBorder="1" applyAlignment="1">
      <alignment horizontal="center" vertical="center"/>
    </xf>
    <xf numFmtId="0" fontId="53" fillId="4" borderId="0" xfId="0" applyFont="1" applyFill="1" applyBorder="1" applyAlignment="1">
      <alignment horizontal="center" vertical="center"/>
    </xf>
    <xf numFmtId="0" fontId="53" fillId="4" borderId="18"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1" xfId="0" applyFont="1" applyFill="1" applyBorder="1" applyAlignment="1">
      <alignment horizontal="center" vertical="center"/>
    </xf>
    <xf numFmtId="0" fontId="53" fillId="4" borderId="53" xfId="0" applyFont="1" applyFill="1" applyBorder="1" applyAlignment="1">
      <alignment horizontal="center" vertical="center"/>
    </xf>
    <xf numFmtId="170" fontId="41" fillId="4" borderId="20" xfId="0" applyNumberFormat="1" applyFont="1" applyFill="1" applyBorder="1" applyAlignment="1">
      <alignment horizontal="center"/>
    </xf>
    <xf numFmtId="170" fontId="41" fillId="4" borderId="21" xfId="0" applyNumberFormat="1" applyFont="1" applyFill="1" applyBorder="1" applyAlignment="1">
      <alignment horizontal="center"/>
    </xf>
    <xf numFmtId="170" fontId="41" fillId="4" borderId="3" xfId="0" applyNumberFormat="1" applyFont="1" applyFill="1" applyBorder="1" applyAlignment="1">
      <alignment horizontal="center"/>
    </xf>
    <xf numFmtId="170" fontId="41" fillId="4" borderId="9" xfId="0" applyNumberFormat="1" applyFont="1" applyFill="1" applyBorder="1" applyAlignment="1">
      <alignment horizontal="center"/>
    </xf>
    <xf numFmtId="9" fontId="41" fillId="4" borderId="68" xfId="0" applyNumberFormat="1" applyFont="1" applyFill="1" applyBorder="1" applyAlignment="1">
      <alignment horizontal="center"/>
    </xf>
    <xf numFmtId="9" fontId="41" fillId="4" borderId="9" xfId="0" applyNumberFormat="1" applyFont="1" applyFill="1" applyBorder="1" applyAlignment="1">
      <alignment horizontal="center"/>
    </xf>
    <xf numFmtId="170" fontId="41" fillId="4" borderId="68" xfId="0" applyNumberFormat="1" applyFont="1" applyFill="1" applyBorder="1" applyAlignment="1">
      <alignment horizontal="center"/>
    </xf>
    <xf numFmtId="170" fontId="41" fillId="4" borderId="67" xfId="0" applyNumberFormat="1" applyFont="1" applyFill="1" applyBorder="1" applyAlignment="1">
      <alignment horizontal="center"/>
    </xf>
    <xf numFmtId="9" fontId="41" fillId="4" borderId="35" xfId="0" applyNumberFormat="1" applyFont="1" applyFill="1" applyBorder="1" applyAlignment="1">
      <alignment horizontal="center"/>
    </xf>
    <xf numFmtId="9" fontId="41" fillId="4" borderId="18" xfId="0" applyNumberFormat="1" applyFont="1" applyFill="1" applyBorder="1" applyAlignment="1">
      <alignment horizontal="center"/>
    </xf>
    <xf numFmtId="170" fontId="41" fillId="4" borderId="35" xfId="0" applyNumberFormat="1" applyFont="1" applyFill="1" applyBorder="1" applyAlignment="1">
      <alignment horizontal="center"/>
    </xf>
    <xf numFmtId="170" fontId="41" fillId="4" borderId="17" xfId="0" applyNumberFormat="1" applyFont="1" applyFill="1" applyBorder="1" applyAlignment="1">
      <alignment horizontal="center"/>
    </xf>
    <xf numFmtId="170" fontId="41" fillId="4" borderId="18" xfId="0" applyNumberFormat="1" applyFont="1" applyFill="1" applyBorder="1" applyAlignment="1">
      <alignment horizontal="center"/>
    </xf>
    <xf numFmtId="170" fontId="41" fillId="4" borderId="24" xfId="0" applyNumberFormat="1" applyFont="1" applyFill="1" applyBorder="1" applyAlignment="1">
      <alignment horizontal="center"/>
    </xf>
    <xf numFmtId="9" fontId="41" fillId="4" borderId="67" xfId="0" applyNumberFormat="1" applyFont="1" applyFill="1" applyBorder="1" applyAlignment="1">
      <alignment horizontal="center"/>
    </xf>
    <xf numFmtId="0" fontId="41" fillId="4" borderId="68" xfId="0" applyFont="1" applyFill="1" applyBorder="1" applyAlignment="1">
      <alignment horizontal="center" wrapText="1"/>
    </xf>
    <xf numFmtId="0" fontId="41" fillId="4" borderId="78" xfId="0" applyFont="1" applyFill="1" applyBorder="1" applyAlignment="1">
      <alignment horizontal="center" wrapText="1"/>
    </xf>
    <xf numFmtId="170" fontId="41" fillId="4" borderId="4" xfId="0" applyNumberFormat="1" applyFont="1" applyFill="1" applyBorder="1" applyAlignment="1">
      <alignment horizontal="center"/>
    </xf>
    <xf numFmtId="0" fontId="41" fillId="4" borderId="68" xfId="0" applyFont="1" applyFill="1" applyBorder="1" applyAlignment="1">
      <alignment horizontal="center"/>
    </xf>
    <xf numFmtId="0" fontId="41" fillId="4" borderId="78" xfId="0" applyFont="1" applyFill="1" applyBorder="1" applyAlignment="1">
      <alignment horizontal="center"/>
    </xf>
    <xf numFmtId="9" fontId="41" fillId="4" borderId="3" xfId="0" applyNumberFormat="1" applyFont="1" applyFill="1" applyBorder="1" applyAlignment="1">
      <alignment horizontal="center"/>
    </xf>
    <xf numFmtId="0" fontId="41" fillId="2" borderId="47"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41" fillId="4" borderId="3" xfId="0" applyFont="1" applyFill="1" applyBorder="1" applyAlignment="1">
      <alignment horizontal="center" wrapText="1"/>
    </xf>
    <xf numFmtId="0" fontId="41" fillId="4" borderId="9" xfId="0" applyFont="1" applyFill="1" applyBorder="1" applyAlignment="1">
      <alignment horizontal="center" wrapText="1"/>
    </xf>
    <xf numFmtId="0" fontId="41" fillId="4" borderId="3" xfId="0" applyFont="1" applyFill="1" applyBorder="1" applyAlignment="1">
      <alignment horizontal="center"/>
    </xf>
    <xf numFmtId="0" fontId="41" fillId="4" borderId="9" xfId="0" applyFont="1" applyFill="1" applyBorder="1" applyAlignment="1">
      <alignment horizontal="center"/>
    </xf>
    <xf numFmtId="0" fontId="41" fillId="2" borderId="22"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127" fillId="0" borderId="4" xfId="0" applyFont="1" applyBorder="1" applyAlignment="1">
      <alignment horizontal="center"/>
    </xf>
    <xf numFmtId="0" fontId="127" fillId="0" borderId="3" xfId="0" applyFont="1" applyBorder="1" applyAlignment="1">
      <alignment horizontal="center"/>
    </xf>
    <xf numFmtId="0" fontId="127" fillId="0" borderId="17" xfId="0" applyFont="1" applyFill="1" applyBorder="1" applyAlignment="1">
      <alignment horizontal="center"/>
    </xf>
    <xf numFmtId="0" fontId="127" fillId="0" borderId="5" xfId="0" applyFont="1" applyFill="1" applyBorder="1" applyAlignment="1">
      <alignment horizontal="center"/>
    </xf>
    <xf numFmtId="0" fontId="53" fillId="4" borderId="14" xfId="0" applyFont="1" applyFill="1" applyBorder="1" applyAlignment="1">
      <alignment horizontal="center" vertical="center"/>
    </xf>
    <xf numFmtId="0" fontId="53" fillId="4" borderId="16" xfId="0" applyFont="1" applyFill="1" applyBorder="1" applyAlignment="1">
      <alignment horizontal="center" vertical="center"/>
    </xf>
    <xf numFmtId="0" fontId="127" fillId="0" borderId="17" xfId="0" applyFont="1" applyBorder="1" applyAlignment="1">
      <alignment horizontal="center"/>
    </xf>
    <xf numFmtId="0" fontId="127" fillId="0" borderId="5" xfId="0" applyFont="1" applyBorder="1" applyAlignment="1">
      <alignment horizontal="center"/>
    </xf>
    <xf numFmtId="0" fontId="127" fillId="10" borderId="71" xfId="0" applyFont="1" applyFill="1" applyBorder="1" applyAlignment="1">
      <alignment horizontal="center" wrapText="1"/>
    </xf>
    <xf numFmtId="0" fontId="127" fillId="10" borderId="72" xfId="0" applyFont="1" applyFill="1" applyBorder="1" applyAlignment="1">
      <alignment horizontal="center" wrapText="1"/>
    </xf>
    <xf numFmtId="0" fontId="53" fillId="4" borderId="8" xfId="0" applyFont="1" applyFill="1" applyBorder="1" applyAlignment="1">
      <alignment horizontal="center" vertical="center"/>
    </xf>
    <xf numFmtId="0" fontId="53" fillId="4" borderId="5" xfId="0" applyFont="1" applyFill="1" applyBorder="1" applyAlignment="1">
      <alignment horizontal="center" vertical="center"/>
    </xf>
    <xf numFmtId="0" fontId="53" fillId="4" borderId="7" xfId="0" applyFont="1" applyFill="1" applyBorder="1" applyAlignment="1">
      <alignment horizontal="center" vertical="center"/>
    </xf>
    <xf numFmtId="0" fontId="53" fillId="4" borderId="17" xfId="0" applyFont="1" applyFill="1" applyBorder="1" applyAlignment="1">
      <alignment horizontal="center" vertical="center"/>
    </xf>
    <xf numFmtId="0" fontId="127" fillId="10" borderId="12" xfId="0" applyFont="1" applyFill="1" applyBorder="1" applyAlignment="1">
      <alignment horizontal="center" vertical="center" wrapText="1"/>
    </xf>
    <xf numFmtId="0" fontId="127" fillId="10" borderId="46" xfId="0" applyFont="1" applyFill="1" applyBorder="1" applyAlignment="1">
      <alignment horizontal="center" vertical="center" wrapText="1"/>
    </xf>
    <xf numFmtId="0" fontId="127" fillId="10" borderId="13" xfId="0" applyFont="1" applyFill="1" applyBorder="1" applyAlignment="1">
      <alignment horizontal="center" vertical="center" wrapText="1"/>
    </xf>
    <xf numFmtId="0" fontId="127" fillId="10" borderId="53" xfId="0" applyFont="1" applyFill="1" applyBorder="1" applyAlignment="1">
      <alignment horizontal="center" vertical="center" wrapText="1"/>
    </xf>
    <xf numFmtId="0" fontId="53" fillId="3" borderId="11" xfId="0" applyFont="1" applyFill="1" applyBorder="1" applyAlignment="1">
      <alignment horizontal="center"/>
    </xf>
    <xf numFmtId="1" fontId="43" fillId="3" borderId="11" xfId="0" applyNumberFormat="1" applyFont="1" applyFill="1" applyBorder="1" applyAlignment="1">
      <alignment horizontal="center"/>
    </xf>
    <xf numFmtId="0" fontId="43" fillId="2" borderId="14" xfId="0" applyFont="1" applyFill="1" applyBorder="1" applyAlignment="1">
      <alignment horizontal="left"/>
    </xf>
    <xf numFmtId="0" fontId="43" fillId="2" borderId="8" xfId="0" applyFont="1" applyFill="1" applyBorder="1" applyAlignment="1">
      <alignment horizontal="left"/>
    </xf>
    <xf numFmtId="165" fontId="32" fillId="0" borderId="10" xfId="0" applyNumberFormat="1" applyFont="1" applyFill="1" applyBorder="1" applyAlignment="1">
      <alignment horizontal="center"/>
    </xf>
    <xf numFmtId="165" fontId="32" fillId="0" borderId="28" xfId="0" applyNumberFormat="1" applyFont="1" applyFill="1" applyBorder="1" applyAlignment="1">
      <alignment horizontal="center"/>
    </xf>
    <xf numFmtId="165" fontId="32" fillId="0" borderId="12" xfId="0" applyNumberFormat="1" applyFont="1" applyFill="1" applyBorder="1" applyAlignment="1">
      <alignment horizontal="center"/>
    </xf>
    <xf numFmtId="1" fontId="43" fillId="0" borderId="1" xfId="0" applyNumberFormat="1" applyFont="1" applyFill="1" applyBorder="1" applyAlignment="1">
      <alignment horizontal="center"/>
    </xf>
    <xf numFmtId="1" fontId="43" fillId="0" borderId="53" xfId="0" applyNumberFormat="1" applyFont="1" applyFill="1" applyBorder="1" applyAlignment="1">
      <alignment horizontal="center"/>
    </xf>
    <xf numFmtId="0" fontId="53" fillId="2" borderId="20" xfId="0" applyFont="1" applyFill="1" applyBorder="1" applyAlignment="1">
      <alignment horizontal="center"/>
    </xf>
    <xf numFmtId="0" fontId="53" fillId="2" borderId="24" xfId="0" applyFont="1" applyFill="1" applyBorder="1" applyAlignment="1">
      <alignment horizontal="center"/>
    </xf>
    <xf numFmtId="0" fontId="43" fillId="2" borderId="3" xfId="0" applyFont="1" applyFill="1" applyBorder="1" applyAlignment="1">
      <alignment horizontal="center"/>
    </xf>
    <xf numFmtId="0" fontId="43" fillId="2" borderId="4" xfId="0" applyFont="1" applyFill="1" applyBorder="1" applyAlignment="1">
      <alignment horizontal="center"/>
    </xf>
    <xf numFmtId="1" fontId="53" fillId="3" borderId="11" xfId="0" applyNumberFormat="1" applyFont="1" applyFill="1" applyBorder="1" applyAlignment="1">
      <alignment horizontal="center"/>
    </xf>
    <xf numFmtId="0" fontId="53" fillId="3" borderId="3" xfId="0" applyFont="1" applyFill="1" applyBorder="1" applyAlignment="1">
      <alignment horizontal="center"/>
    </xf>
    <xf numFmtId="0" fontId="53" fillId="3" borderId="4" xfId="0" applyFont="1" applyFill="1" applyBorder="1" applyAlignment="1">
      <alignment horizontal="center"/>
    </xf>
    <xf numFmtId="0" fontId="53" fillId="3" borderId="9" xfId="0" applyFont="1" applyFill="1" applyBorder="1" applyAlignment="1">
      <alignment horizontal="center"/>
    </xf>
    <xf numFmtId="1" fontId="43" fillId="0" borderId="0" xfId="0" applyNumberFormat="1" applyFont="1" applyFill="1" applyBorder="1" applyAlignment="1">
      <alignment horizontal="center"/>
    </xf>
    <xf numFmtId="0" fontId="60" fillId="10" borderId="0" xfId="0" applyFont="1" applyFill="1" applyBorder="1" applyAlignment="1">
      <alignment horizontal="center"/>
    </xf>
    <xf numFmtId="0" fontId="43" fillId="2" borderId="14" xfId="0" applyFont="1" applyFill="1" applyBorder="1" applyAlignment="1">
      <alignment horizontal="center"/>
    </xf>
    <xf numFmtId="0" fontId="43" fillId="2" borderId="8" xfId="0" applyFont="1" applyFill="1" applyBorder="1" applyAlignment="1">
      <alignment horizontal="center"/>
    </xf>
    <xf numFmtId="0" fontId="55" fillId="2" borderId="14" xfId="0" applyFont="1" applyFill="1" applyBorder="1" applyAlignment="1">
      <alignment horizontal="center"/>
    </xf>
    <xf numFmtId="0" fontId="55" fillId="2" borderId="8" xfId="0" applyFont="1" applyFill="1" applyBorder="1" applyAlignment="1">
      <alignment horizontal="center"/>
    </xf>
    <xf numFmtId="0" fontId="53" fillId="3" borderId="44" xfId="0" applyFont="1" applyFill="1" applyBorder="1" applyAlignment="1">
      <alignment horizontal="center"/>
    </xf>
    <xf numFmtId="2" fontId="43" fillId="4" borderId="52" xfId="0" applyNumberFormat="1" applyFont="1" applyFill="1" applyBorder="1" applyAlignment="1">
      <alignment horizontal="center"/>
    </xf>
    <xf numFmtId="2" fontId="43" fillId="4" borderId="42" xfId="0" applyNumberFormat="1" applyFont="1" applyFill="1" applyBorder="1" applyAlignment="1">
      <alignment horizontal="center"/>
    </xf>
    <xf numFmtId="1" fontId="43" fillId="8" borderId="3" xfId="0" applyNumberFormat="1" applyFont="1" applyFill="1" applyBorder="1" applyAlignment="1">
      <alignment horizontal="center"/>
    </xf>
    <xf numFmtId="1" fontId="43" fillId="8" borderId="42" xfId="0" applyNumberFormat="1" applyFont="1" applyFill="1" applyBorder="1" applyAlignment="1">
      <alignment horizontal="center"/>
    </xf>
    <xf numFmtId="165" fontId="53" fillId="10" borderId="16" xfId="0" applyNumberFormat="1" applyFont="1" applyFill="1" applyBorder="1" applyAlignment="1">
      <alignment horizontal="center" wrapText="1"/>
    </xf>
    <xf numFmtId="165" fontId="53" fillId="10" borderId="31" xfId="0" applyNumberFormat="1" applyFont="1" applyFill="1" applyBorder="1" applyAlignment="1">
      <alignment horizontal="center" wrapText="1"/>
    </xf>
    <xf numFmtId="0" fontId="56" fillId="8" borderId="52" xfId="0" applyFont="1" applyFill="1" applyBorder="1" applyAlignment="1">
      <alignment horizontal="center"/>
    </xf>
    <xf numFmtId="0" fontId="56" fillId="8" borderId="42" xfId="0" applyFont="1" applyFill="1" applyBorder="1" applyAlignment="1">
      <alignment horizontal="center"/>
    </xf>
    <xf numFmtId="171" fontId="87" fillId="4" borderId="3" xfId="0" applyNumberFormat="1" applyFont="1" applyFill="1" applyBorder="1" applyAlignment="1">
      <alignment horizontal="center"/>
    </xf>
    <xf numFmtId="171" fontId="87" fillId="4" borderId="42" xfId="0" applyNumberFormat="1" applyFont="1" applyFill="1" applyBorder="1" applyAlignment="1">
      <alignment horizontal="center"/>
    </xf>
    <xf numFmtId="165" fontId="53" fillId="10" borderId="4" xfId="0" applyNumberFormat="1" applyFont="1" applyFill="1" applyBorder="1" applyAlignment="1">
      <alignment horizontal="center"/>
    </xf>
    <xf numFmtId="165" fontId="53" fillId="10" borderId="9" xfId="0" applyNumberFormat="1" applyFont="1" applyFill="1" applyBorder="1" applyAlignment="1">
      <alignment horizontal="center"/>
    </xf>
    <xf numFmtId="0" fontId="43" fillId="2" borderId="9" xfId="0" applyFont="1" applyFill="1" applyBorder="1" applyAlignment="1">
      <alignment horizontal="center"/>
    </xf>
    <xf numFmtId="0" fontId="39" fillId="8" borderId="3" xfId="0" applyFont="1" applyFill="1" applyBorder="1" applyAlignment="1">
      <alignment horizontal="center"/>
    </xf>
    <xf numFmtId="0" fontId="39" fillId="8" borderId="9" xfId="0" applyFont="1" applyFill="1" applyBorder="1" applyAlignment="1">
      <alignment horizontal="center"/>
    </xf>
    <xf numFmtId="0" fontId="56" fillId="8" borderId="3" xfId="0" applyFont="1" applyFill="1" applyBorder="1" applyAlignment="1">
      <alignment horizontal="center"/>
    </xf>
    <xf numFmtId="0" fontId="56" fillId="8" borderId="9" xfId="0" applyFont="1" applyFill="1" applyBorder="1" applyAlignment="1">
      <alignment horizontal="center"/>
    </xf>
    <xf numFmtId="2" fontId="87" fillId="4" borderId="3" xfId="0" applyNumberFormat="1" applyFont="1" applyFill="1" applyBorder="1" applyAlignment="1">
      <alignment horizontal="center"/>
    </xf>
    <xf numFmtId="2" fontId="87" fillId="4" borderId="42" xfId="0" applyNumberFormat="1" applyFont="1" applyFill="1" applyBorder="1" applyAlignment="1">
      <alignment horizontal="center"/>
    </xf>
    <xf numFmtId="165" fontId="53" fillId="10" borderId="6" xfId="0" applyNumberFormat="1" applyFont="1" applyFill="1" applyBorder="1" applyAlignment="1">
      <alignment horizontal="center"/>
    </xf>
    <xf numFmtId="165" fontId="53" fillId="10" borderId="7" xfId="0" applyNumberFormat="1" applyFont="1" applyFill="1" applyBorder="1" applyAlignment="1">
      <alignment horizontal="center"/>
    </xf>
    <xf numFmtId="165" fontId="53" fillId="10" borderId="31" xfId="0" applyNumberFormat="1" applyFont="1" applyFill="1" applyBorder="1" applyAlignment="1">
      <alignment horizontal="center"/>
    </xf>
    <xf numFmtId="1" fontId="43" fillId="8" borderId="9" xfId="0" applyNumberFormat="1" applyFont="1" applyFill="1" applyBorder="1" applyAlignment="1">
      <alignment horizontal="center"/>
    </xf>
    <xf numFmtId="0" fontId="43" fillId="2" borderId="4" xfId="0" applyFont="1" applyFill="1" applyBorder="1" applyAlignment="1">
      <alignment horizontal="center" wrapText="1"/>
    </xf>
    <xf numFmtId="0" fontId="43" fillId="2" borderId="9" xfId="0" applyFont="1" applyFill="1" applyBorder="1" applyAlignment="1">
      <alignment horizontal="center" wrapText="1"/>
    </xf>
    <xf numFmtId="2" fontId="43" fillId="4" borderId="3" xfId="0" applyNumberFormat="1" applyFont="1" applyFill="1" applyBorder="1" applyAlignment="1">
      <alignment horizontal="center"/>
    </xf>
    <xf numFmtId="2" fontId="43" fillId="4" borderId="9" xfId="0" applyNumberFormat="1" applyFont="1" applyFill="1" applyBorder="1" applyAlignment="1">
      <alignment horizontal="center"/>
    </xf>
    <xf numFmtId="165" fontId="53" fillId="10" borderId="16" xfId="0" applyNumberFormat="1" applyFont="1" applyFill="1" applyBorder="1" applyAlignment="1">
      <alignment horizontal="center"/>
    </xf>
    <xf numFmtId="1" fontId="45" fillId="5" borderId="6" xfId="4" applyNumberFormat="1" applyFont="1" applyFill="1" applyBorder="1" applyAlignment="1">
      <alignment horizontal="center"/>
    </xf>
    <xf numFmtId="1" fontId="45" fillId="5" borderId="5" xfId="4" applyNumberFormat="1" applyFont="1" applyFill="1" applyBorder="1" applyAlignment="1">
      <alignment horizontal="center"/>
    </xf>
    <xf numFmtId="167" fontId="3" fillId="0" borderId="0" xfId="19" applyNumberFormat="1" applyFont="1" applyAlignment="1"/>
    <xf numFmtId="167" fontId="21" fillId="0" borderId="0" xfId="19" applyNumberFormat="1" applyFont="1" applyAlignment="1"/>
    <xf numFmtId="0" fontId="50" fillId="0" borderId="11" xfId="4" applyFont="1" applyBorder="1" applyAlignment="1">
      <alignment horizontal="center" wrapText="1"/>
    </xf>
    <xf numFmtId="1" fontId="50" fillId="0" borderId="11" xfId="4" applyNumberFormat="1" applyFont="1" applyBorder="1" applyAlignment="1">
      <alignment horizontal="center" wrapText="1"/>
    </xf>
    <xf numFmtId="2" fontId="50" fillId="0" borderId="11" xfId="4" applyNumberFormat="1" applyFont="1" applyBorder="1" applyAlignment="1">
      <alignment horizontal="center" wrapText="1"/>
    </xf>
    <xf numFmtId="0" fontId="50" fillId="0" borderId="11" xfId="4" applyFont="1" applyBorder="1" applyAlignment="1">
      <alignment horizontal="center"/>
    </xf>
    <xf numFmtId="0" fontId="104" fillId="0" borderId="11" xfId="4" applyFont="1" applyBorder="1" applyAlignment="1">
      <alignment horizontal="center" wrapText="1"/>
    </xf>
    <xf numFmtId="1" fontId="104" fillId="0" borderId="11" xfId="4" applyNumberFormat="1" applyFont="1" applyBorder="1" applyAlignment="1">
      <alignment horizontal="center" wrapText="1"/>
    </xf>
    <xf numFmtId="2" fontId="104" fillId="0" borderId="11" xfId="4" applyNumberFormat="1" applyFont="1" applyBorder="1" applyAlignment="1">
      <alignment horizontal="center" wrapText="1"/>
    </xf>
    <xf numFmtId="0" fontId="104" fillId="0" borderId="3" xfId="4" applyFont="1" applyBorder="1" applyAlignment="1">
      <alignment horizontal="center" wrapText="1"/>
    </xf>
    <xf numFmtId="0" fontId="104" fillId="0" borderId="4" xfId="4" applyFont="1" applyBorder="1" applyAlignment="1">
      <alignment horizontal="center" wrapText="1"/>
    </xf>
    <xf numFmtId="0" fontId="104" fillId="0" borderId="9" xfId="4" applyFont="1" applyBorder="1" applyAlignment="1">
      <alignment horizontal="center" wrapText="1"/>
    </xf>
    <xf numFmtId="165" fontId="104" fillId="0" borderId="11" xfId="4" applyNumberFormat="1" applyFont="1" applyBorder="1" applyAlignment="1">
      <alignment horizontal="center" wrapText="1"/>
    </xf>
    <xf numFmtId="0" fontId="50" fillId="0" borderId="11" xfId="17" applyFont="1" applyBorder="1" applyAlignment="1">
      <alignment horizontal="center" wrapText="1"/>
    </xf>
    <xf numFmtId="1" fontId="50" fillId="0" borderId="11" xfId="17" applyNumberFormat="1" applyFont="1" applyBorder="1" applyAlignment="1">
      <alignment horizontal="center" wrapText="1"/>
    </xf>
    <xf numFmtId="2" fontId="50" fillId="0" borderId="11" xfId="17" applyNumberFormat="1" applyFont="1" applyBorder="1" applyAlignment="1">
      <alignment horizontal="center" wrapText="1"/>
    </xf>
    <xf numFmtId="0" fontId="50" fillId="0" borderId="11" xfId="17" applyFont="1" applyBorder="1" applyAlignment="1">
      <alignment horizontal="center"/>
    </xf>
    <xf numFmtId="0" fontId="104" fillId="0" borderId="11" xfId="4" applyFont="1" applyBorder="1" applyAlignment="1">
      <alignment horizontal="center"/>
    </xf>
    <xf numFmtId="0" fontId="135" fillId="0" borderId="0" xfId="0" applyFont="1" applyAlignment="1">
      <alignment horizontal="center"/>
    </xf>
    <xf numFmtId="0" fontId="0" fillId="0" borderId="0" xfId="0" applyAlignment="1">
      <alignment horizontal="center"/>
    </xf>
  </cellXfs>
  <cellStyles count="513">
    <cellStyle name="Calculation" xfId="108" builtinId="22"/>
    <cellStyle name="Calculation 2" xfId="162"/>
    <cellStyle name="Comma" xfId="3" builtinId="3"/>
    <cellStyle name="Comma 2" xfId="19"/>
    <cellStyle name="Comma 3" xfId="46"/>
    <cellStyle name="Comma 4" xfId="164"/>
    <cellStyle name="Comma 4 2" xfId="507"/>
    <cellStyle name="Currency 2" xfId="29"/>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5" builtinId="9" hidden="1"/>
    <cellStyle name="Followed Hyperlink" xfId="166"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Good" xfId="408" builtinId="26"/>
    <cellStyle name="Heading" xfId="8"/>
    <cellStyle name="Hyperlink 2" xfId="9"/>
    <cellStyle name="Input" xfId="6" builtinId="20"/>
    <cellStyle name="Neutral" xfId="511" builtinId="28"/>
    <cellStyle name="Normal" xfId="0" builtinId="0"/>
    <cellStyle name="Normal 10" xfId="509"/>
    <cellStyle name="Normal 2" xfId="1"/>
    <cellStyle name="Normal 2 2" xfId="20"/>
    <cellStyle name="Normal 2 3" xfId="512"/>
    <cellStyle name="Normal 3" xfId="4"/>
    <cellStyle name="Normal 3 2" xfId="17"/>
    <cellStyle name="Normal 3 2 2" xfId="27"/>
    <cellStyle name="Normal 3 2 2 2" xfId="44"/>
    <cellStyle name="Normal 3 2 2 2 2" xfId="503"/>
    <cellStyle name="Normal 3 2 2 3" xfId="487"/>
    <cellStyle name="Normal 3 2 3" xfId="36"/>
    <cellStyle name="Normal 3 2 3 2" xfId="495"/>
    <cellStyle name="Normal 3 2 4" xfId="479"/>
    <cellStyle name="Normal 3 3" xfId="21"/>
    <cellStyle name="Normal 3 3 2" xfId="38"/>
    <cellStyle name="Normal 3 3 2 2" xfId="497"/>
    <cellStyle name="Normal 3 3 3" xfId="481"/>
    <cellStyle name="Normal 3 4" xfId="30"/>
    <cellStyle name="Normal 3 4 2" xfId="489"/>
    <cellStyle name="Normal 3 5" xfId="473"/>
    <cellStyle name="Normal 4" xfId="7"/>
    <cellStyle name="Normal 4 2" xfId="23"/>
    <cellStyle name="Normal 4 2 2" xfId="40"/>
    <cellStyle name="Normal 4 2 2 2" xfId="499"/>
    <cellStyle name="Normal 4 2 3" xfId="483"/>
    <cellStyle name="Normal 4 3" xfId="32"/>
    <cellStyle name="Normal 4 3 2" xfId="491"/>
    <cellStyle name="Normal 4 4" xfId="475"/>
    <cellStyle name="Normal 5" xfId="13"/>
    <cellStyle name="Normal 5 2" xfId="24"/>
    <cellStyle name="Normal 5 2 2" xfId="41"/>
    <cellStyle name="Normal 5 2 2 2" xfId="500"/>
    <cellStyle name="Normal 5 2 3" xfId="484"/>
    <cellStyle name="Normal 5 3" xfId="33"/>
    <cellStyle name="Normal 5 3 2" xfId="492"/>
    <cellStyle name="Normal 5 4" xfId="476"/>
    <cellStyle name="Normal 6" xfId="15"/>
    <cellStyle name="Normal 6 2" xfId="26"/>
    <cellStyle name="Normal 6 2 2" xfId="43"/>
    <cellStyle name="Normal 6 2 2 2" xfId="502"/>
    <cellStyle name="Normal 6 2 3" xfId="486"/>
    <cellStyle name="Normal 6 3" xfId="35"/>
    <cellStyle name="Normal 6 3 2" xfId="494"/>
    <cellStyle name="Normal 6 4" xfId="478"/>
    <cellStyle name="Normal 7" xfId="161"/>
    <cellStyle name="Normal 7 2" xfId="505"/>
    <cellStyle name="Normal 8" xfId="167"/>
    <cellStyle name="Normal 8 2" xfId="508"/>
    <cellStyle name="Normal 9" xfId="192"/>
    <cellStyle name="Normal 9 2" xfId="431"/>
    <cellStyle name="Normal_Sheet1" xfId="16"/>
    <cellStyle name="Output" xfId="510" builtinId="21"/>
    <cellStyle name="Percent" xfId="2" builtinId="5"/>
    <cellStyle name="Percent 2" xfId="5"/>
    <cellStyle name="Percent 2 2" xfId="18"/>
    <cellStyle name="Percent 2 2 2" xfId="28"/>
    <cellStyle name="Percent 2 2 2 2" xfId="45"/>
    <cellStyle name="Percent 2 2 2 2 2" xfId="504"/>
    <cellStyle name="Percent 2 2 2 3" xfId="488"/>
    <cellStyle name="Percent 2 2 3" xfId="37"/>
    <cellStyle name="Percent 2 2 3 2" xfId="496"/>
    <cellStyle name="Percent 2 2 4" xfId="480"/>
    <cellStyle name="Percent 2 3" xfId="22"/>
    <cellStyle name="Percent 2 3 2" xfId="39"/>
    <cellStyle name="Percent 2 3 2 2" xfId="498"/>
    <cellStyle name="Percent 2 3 3" xfId="482"/>
    <cellStyle name="Percent 2 4" xfId="31"/>
    <cellStyle name="Percent 2 4 2" xfId="490"/>
    <cellStyle name="Percent 2 5" xfId="474"/>
    <cellStyle name="Percent 3" xfId="14"/>
    <cellStyle name="Percent 3 2" xfId="25"/>
    <cellStyle name="Percent 3 2 2" xfId="42"/>
    <cellStyle name="Percent 3 2 2 2" xfId="501"/>
    <cellStyle name="Percent 3 2 3" xfId="485"/>
    <cellStyle name="Percent 3 3" xfId="34"/>
    <cellStyle name="Percent 3 3 2" xfId="493"/>
    <cellStyle name="Percent 3 4" xfId="477"/>
    <cellStyle name="Percent 4" xfId="163"/>
    <cellStyle name="Percent 4 2" xfId="506"/>
    <cellStyle name="Publication_style" xfId="10"/>
    <cellStyle name="Refdb standard" xfId="11"/>
    <cellStyle name="Source" xfId="12"/>
  </cellStyles>
  <dxfs count="0"/>
  <tableStyles count="0" defaultTableStyle="TableStyleMedium9" defaultPivotStyle="PivotStyleLight16"/>
  <colors>
    <mruColors>
      <color rgb="FFFFCC00"/>
      <color rgb="FFCCFFCC"/>
      <color rgb="FF35EB35"/>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4173173012727"/>
          <c:y val="4.3533124912287023E-2"/>
          <c:w val="0.75583902302911321"/>
          <c:h val="0.792142020277391"/>
        </c:manualLayout>
      </c:layout>
      <c:lineChart>
        <c:grouping val="standard"/>
        <c:varyColors val="0"/>
        <c:ser>
          <c:idx val="3"/>
          <c:order val="0"/>
          <c:marker>
            <c:symbol val="none"/>
          </c:marker>
          <c:cat>
            <c:numRef>
              <c:f>'t Total'!$E$6:$E$2006</c:f>
              <c:numCache>
                <c:formatCode>0</c:formatCode>
                <c:ptCount val="2001"/>
                <c:pt idx="0">
                  <c:v>0</c:v>
                </c:pt>
                <c:pt idx="1">
                  <c:v>0.14285714285714285</c:v>
                </c:pt>
                <c:pt idx="2">
                  <c:v>0.2857142857142857</c:v>
                </c:pt>
                <c:pt idx="3">
                  <c:v>0.42857142857142855</c:v>
                </c:pt>
                <c:pt idx="4">
                  <c:v>0.5714285714285714</c:v>
                </c:pt>
                <c:pt idx="5">
                  <c:v>0.7142857142857143</c:v>
                </c:pt>
                <c:pt idx="6">
                  <c:v>0.8571428571428571</c:v>
                </c:pt>
                <c:pt idx="7">
                  <c:v>1</c:v>
                </c:pt>
                <c:pt idx="8">
                  <c:v>1.1428571428571428</c:v>
                </c:pt>
                <c:pt idx="9">
                  <c:v>1.2857142857142858</c:v>
                </c:pt>
                <c:pt idx="10">
                  <c:v>1.4285714285714286</c:v>
                </c:pt>
                <c:pt idx="11">
                  <c:v>1.5714285714285714</c:v>
                </c:pt>
                <c:pt idx="12">
                  <c:v>1.7142857142857142</c:v>
                </c:pt>
                <c:pt idx="13">
                  <c:v>1.8571428571428572</c:v>
                </c:pt>
                <c:pt idx="14">
                  <c:v>2</c:v>
                </c:pt>
                <c:pt idx="15">
                  <c:v>2.1428571428571428</c:v>
                </c:pt>
                <c:pt idx="16">
                  <c:v>2.2857142857142856</c:v>
                </c:pt>
                <c:pt idx="17">
                  <c:v>2.4285714285714284</c:v>
                </c:pt>
                <c:pt idx="18">
                  <c:v>2.5714285714285716</c:v>
                </c:pt>
                <c:pt idx="19">
                  <c:v>2.7142857142857144</c:v>
                </c:pt>
                <c:pt idx="20">
                  <c:v>2.8571428571428572</c:v>
                </c:pt>
                <c:pt idx="21">
                  <c:v>3</c:v>
                </c:pt>
                <c:pt idx="22">
                  <c:v>3.1428571428571428</c:v>
                </c:pt>
                <c:pt idx="23">
                  <c:v>3.2857142857142856</c:v>
                </c:pt>
                <c:pt idx="24">
                  <c:v>3.4285714285714284</c:v>
                </c:pt>
                <c:pt idx="25">
                  <c:v>3.5714285714285716</c:v>
                </c:pt>
                <c:pt idx="26">
                  <c:v>3.7142857142857144</c:v>
                </c:pt>
                <c:pt idx="27">
                  <c:v>3.8571428571428572</c:v>
                </c:pt>
                <c:pt idx="28">
                  <c:v>4</c:v>
                </c:pt>
                <c:pt idx="29">
                  <c:v>4.1428571428571432</c:v>
                </c:pt>
                <c:pt idx="30">
                  <c:v>4.2857142857142856</c:v>
                </c:pt>
                <c:pt idx="31">
                  <c:v>4.4285714285714288</c:v>
                </c:pt>
                <c:pt idx="32">
                  <c:v>4.5714285714285712</c:v>
                </c:pt>
                <c:pt idx="33">
                  <c:v>4.7142857142857144</c:v>
                </c:pt>
                <c:pt idx="34">
                  <c:v>4.8571428571428568</c:v>
                </c:pt>
                <c:pt idx="35">
                  <c:v>5</c:v>
                </c:pt>
                <c:pt idx="36">
                  <c:v>5.1428571428571432</c:v>
                </c:pt>
                <c:pt idx="37">
                  <c:v>5.2857142857142856</c:v>
                </c:pt>
                <c:pt idx="38">
                  <c:v>5.4285714285714288</c:v>
                </c:pt>
                <c:pt idx="39">
                  <c:v>5.5714285714285712</c:v>
                </c:pt>
                <c:pt idx="40">
                  <c:v>5.7142857142857144</c:v>
                </c:pt>
                <c:pt idx="41">
                  <c:v>5.8571428571428568</c:v>
                </c:pt>
                <c:pt idx="42">
                  <c:v>6</c:v>
                </c:pt>
                <c:pt idx="43">
                  <c:v>6.1428571428571432</c:v>
                </c:pt>
                <c:pt idx="44">
                  <c:v>6.2857142857142856</c:v>
                </c:pt>
                <c:pt idx="45">
                  <c:v>6.4285714285714288</c:v>
                </c:pt>
                <c:pt idx="46">
                  <c:v>6.5714285714285712</c:v>
                </c:pt>
                <c:pt idx="47">
                  <c:v>6.7142857142857144</c:v>
                </c:pt>
                <c:pt idx="48">
                  <c:v>6.8571428571428568</c:v>
                </c:pt>
                <c:pt idx="49">
                  <c:v>7</c:v>
                </c:pt>
                <c:pt idx="50">
                  <c:v>7.1428571428571432</c:v>
                </c:pt>
                <c:pt idx="51">
                  <c:v>7.2857142857142856</c:v>
                </c:pt>
                <c:pt idx="52">
                  <c:v>7.4285714285714288</c:v>
                </c:pt>
                <c:pt idx="53">
                  <c:v>7.5714285714285712</c:v>
                </c:pt>
                <c:pt idx="54">
                  <c:v>7.7142857142857144</c:v>
                </c:pt>
                <c:pt idx="55">
                  <c:v>7.8571428571428568</c:v>
                </c:pt>
                <c:pt idx="56">
                  <c:v>8</c:v>
                </c:pt>
                <c:pt idx="57">
                  <c:v>8.1428571428571423</c:v>
                </c:pt>
                <c:pt idx="58">
                  <c:v>8.2857142857142865</c:v>
                </c:pt>
                <c:pt idx="59">
                  <c:v>8.4285714285714288</c:v>
                </c:pt>
                <c:pt idx="60">
                  <c:v>8.5714285714285712</c:v>
                </c:pt>
                <c:pt idx="61">
                  <c:v>8.7142857142857135</c:v>
                </c:pt>
                <c:pt idx="62">
                  <c:v>8.8571428571428577</c:v>
                </c:pt>
                <c:pt idx="63">
                  <c:v>9</c:v>
                </c:pt>
                <c:pt idx="64">
                  <c:v>9.1428571428571423</c:v>
                </c:pt>
                <c:pt idx="65">
                  <c:v>9.2857142857142865</c:v>
                </c:pt>
                <c:pt idx="66">
                  <c:v>9.4285714285714288</c:v>
                </c:pt>
                <c:pt idx="67">
                  <c:v>9.5714285714285712</c:v>
                </c:pt>
                <c:pt idx="68">
                  <c:v>9.7142857142857135</c:v>
                </c:pt>
                <c:pt idx="69">
                  <c:v>9.8571428571428577</c:v>
                </c:pt>
                <c:pt idx="70">
                  <c:v>10</c:v>
                </c:pt>
                <c:pt idx="71">
                  <c:v>10.142857142857142</c:v>
                </c:pt>
                <c:pt idx="72">
                  <c:v>10.285714285714286</c:v>
                </c:pt>
                <c:pt idx="73">
                  <c:v>10.428571428571429</c:v>
                </c:pt>
                <c:pt idx="74">
                  <c:v>10.571428571428571</c:v>
                </c:pt>
                <c:pt idx="75">
                  <c:v>10.714285714285714</c:v>
                </c:pt>
                <c:pt idx="76">
                  <c:v>10.857142857142858</c:v>
                </c:pt>
                <c:pt idx="77">
                  <c:v>11</c:v>
                </c:pt>
                <c:pt idx="78">
                  <c:v>11.142857142857142</c:v>
                </c:pt>
                <c:pt idx="79">
                  <c:v>11.285714285714286</c:v>
                </c:pt>
                <c:pt idx="80">
                  <c:v>11.428571428571429</c:v>
                </c:pt>
                <c:pt idx="81">
                  <c:v>11.571428571428571</c:v>
                </c:pt>
                <c:pt idx="82">
                  <c:v>11.714285714285714</c:v>
                </c:pt>
                <c:pt idx="83">
                  <c:v>11.857142857142858</c:v>
                </c:pt>
                <c:pt idx="84">
                  <c:v>12</c:v>
                </c:pt>
                <c:pt idx="85">
                  <c:v>12.142857142857142</c:v>
                </c:pt>
                <c:pt idx="86">
                  <c:v>12.285714285714286</c:v>
                </c:pt>
                <c:pt idx="87">
                  <c:v>12.428571428571429</c:v>
                </c:pt>
                <c:pt idx="88">
                  <c:v>12.571428571428571</c:v>
                </c:pt>
                <c:pt idx="89">
                  <c:v>12.714285714285714</c:v>
                </c:pt>
                <c:pt idx="90">
                  <c:v>12.857142857142858</c:v>
                </c:pt>
                <c:pt idx="91">
                  <c:v>13</c:v>
                </c:pt>
                <c:pt idx="92">
                  <c:v>13.142857142857142</c:v>
                </c:pt>
                <c:pt idx="93">
                  <c:v>13.285714285714286</c:v>
                </c:pt>
                <c:pt idx="94">
                  <c:v>13.428571428571429</c:v>
                </c:pt>
                <c:pt idx="95">
                  <c:v>13.571428571428571</c:v>
                </c:pt>
                <c:pt idx="96">
                  <c:v>13.714285714285714</c:v>
                </c:pt>
                <c:pt idx="97">
                  <c:v>13.857142857142858</c:v>
                </c:pt>
                <c:pt idx="98">
                  <c:v>14</c:v>
                </c:pt>
                <c:pt idx="99">
                  <c:v>14.142857142857142</c:v>
                </c:pt>
                <c:pt idx="100">
                  <c:v>14.285714285714286</c:v>
                </c:pt>
                <c:pt idx="101">
                  <c:v>14.428571428571429</c:v>
                </c:pt>
                <c:pt idx="102">
                  <c:v>14.571428571428571</c:v>
                </c:pt>
                <c:pt idx="103">
                  <c:v>14.714285714285714</c:v>
                </c:pt>
                <c:pt idx="104">
                  <c:v>14.857142857142858</c:v>
                </c:pt>
                <c:pt idx="105">
                  <c:v>15</c:v>
                </c:pt>
                <c:pt idx="106">
                  <c:v>15.142857142857142</c:v>
                </c:pt>
                <c:pt idx="107">
                  <c:v>15.285714285714286</c:v>
                </c:pt>
                <c:pt idx="108">
                  <c:v>15.428571428571429</c:v>
                </c:pt>
                <c:pt idx="109">
                  <c:v>15.571428571428571</c:v>
                </c:pt>
                <c:pt idx="110">
                  <c:v>15.714285714285714</c:v>
                </c:pt>
                <c:pt idx="111">
                  <c:v>15.857142857142858</c:v>
                </c:pt>
                <c:pt idx="112">
                  <c:v>16</c:v>
                </c:pt>
                <c:pt idx="113">
                  <c:v>16.142857142857142</c:v>
                </c:pt>
                <c:pt idx="114">
                  <c:v>16.285714285714285</c:v>
                </c:pt>
                <c:pt idx="115">
                  <c:v>16.428571428571427</c:v>
                </c:pt>
                <c:pt idx="116">
                  <c:v>16.571428571428573</c:v>
                </c:pt>
                <c:pt idx="117">
                  <c:v>16.714285714285715</c:v>
                </c:pt>
                <c:pt idx="118">
                  <c:v>16.857142857142858</c:v>
                </c:pt>
                <c:pt idx="119">
                  <c:v>17</c:v>
                </c:pt>
                <c:pt idx="120">
                  <c:v>17.142857142857142</c:v>
                </c:pt>
                <c:pt idx="121">
                  <c:v>17.285714285714285</c:v>
                </c:pt>
                <c:pt idx="122">
                  <c:v>17.428571428571427</c:v>
                </c:pt>
                <c:pt idx="123">
                  <c:v>17.571428571428573</c:v>
                </c:pt>
                <c:pt idx="124">
                  <c:v>17.714285714285715</c:v>
                </c:pt>
                <c:pt idx="125">
                  <c:v>17.857142857142858</c:v>
                </c:pt>
                <c:pt idx="126">
                  <c:v>18</c:v>
                </c:pt>
                <c:pt idx="127">
                  <c:v>18.142857142857142</c:v>
                </c:pt>
                <c:pt idx="128">
                  <c:v>18.285714285714285</c:v>
                </c:pt>
                <c:pt idx="129">
                  <c:v>18.428571428571427</c:v>
                </c:pt>
                <c:pt idx="130">
                  <c:v>18.571428571428573</c:v>
                </c:pt>
                <c:pt idx="131">
                  <c:v>18.714285714285715</c:v>
                </c:pt>
                <c:pt idx="132">
                  <c:v>18.857142857142858</c:v>
                </c:pt>
                <c:pt idx="133">
                  <c:v>19</c:v>
                </c:pt>
                <c:pt idx="134">
                  <c:v>19.142857142857142</c:v>
                </c:pt>
                <c:pt idx="135">
                  <c:v>19.285714285714285</c:v>
                </c:pt>
                <c:pt idx="136">
                  <c:v>19.428571428571427</c:v>
                </c:pt>
                <c:pt idx="137">
                  <c:v>19.571428571428573</c:v>
                </c:pt>
                <c:pt idx="138">
                  <c:v>19.714285714285715</c:v>
                </c:pt>
                <c:pt idx="139">
                  <c:v>19.857142857142858</c:v>
                </c:pt>
                <c:pt idx="140">
                  <c:v>20</c:v>
                </c:pt>
                <c:pt idx="141">
                  <c:v>20.142857142857142</c:v>
                </c:pt>
                <c:pt idx="142">
                  <c:v>20.285714285714285</c:v>
                </c:pt>
                <c:pt idx="143">
                  <c:v>20.428571428571427</c:v>
                </c:pt>
                <c:pt idx="144">
                  <c:v>20.571428571428573</c:v>
                </c:pt>
                <c:pt idx="145">
                  <c:v>20.714285714285715</c:v>
                </c:pt>
                <c:pt idx="146">
                  <c:v>20.857142857142858</c:v>
                </c:pt>
                <c:pt idx="147">
                  <c:v>21</c:v>
                </c:pt>
                <c:pt idx="148">
                  <c:v>21.142857142857142</c:v>
                </c:pt>
                <c:pt idx="149">
                  <c:v>21.285714285714285</c:v>
                </c:pt>
                <c:pt idx="150">
                  <c:v>21.428571428571427</c:v>
                </c:pt>
                <c:pt idx="151">
                  <c:v>21.571428571428573</c:v>
                </c:pt>
                <c:pt idx="152">
                  <c:v>21.714285714285715</c:v>
                </c:pt>
                <c:pt idx="153">
                  <c:v>21.857142857142858</c:v>
                </c:pt>
                <c:pt idx="154">
                  <c:v>22</c:v>
                </c:pt>
                <c:pt idx="155">
                  <c:v>22.142857142857142</c:v>
                </c:pt>
                <c:pt idx="156">
                  <c:v>22.285714285714285</c:v>
                </c:pt>
                <c:pt idx="157">
                  <c:v>22.428571428571427</c:v>
                </c:pt>
                <c:pt idx="158">
                  <c:v>22.571428571428573</c:v>
                </c:pt>
                <c:pt idx="159">
                  <c:v>22.714285714285715</c:v>
                </c:pt>
                <c:pt idx="160">
                  <c:v>22.857142857142858</c:v>
                </c:pt>
                <c:pt idx="161">
                  <c:v>23</c:v>
                </c:pt>
                <c:pt idx="162">
                  <c:v>23.142857142857142</c:v>
                </c:pt>
                <c:pt idx="163">
                  <c:v>23.285714285714285</c:v>
                </c:pt>
                <c:pt idx="164">
                  <c:v>23.428571428571427</c:v>
                </c:pt>
                <c:pt idx="165">
                  <c:v>23.571428571428573</c:v>
                </c:pt>
                <c:pt idx="166">
                  <c:v>23.714285714285715</c:v>
                </c:pt>
                <c:pt idx="167">
                  <c:v>23.857142857142858</c:v>
                </c:pt>
                <c:pt idx="168">
                  <c:v>24</c:v>
                </c:pt>
                <c:pt idx="169">
                  <c:v>24.142857142857142</c:v>
                </c:pt>
                <c:pt idx="170">
                  <c:v>24.285714285714285</c:v>
                </c:pt>
                <c:pt idx="171">
                  <c:v>24.428571428571427</c:v>
                </c:pt>
                <c:pt idx="172">
                  <c:v>24.571428571428573</c:v>
                </c:pt>
                <c:pt idx="173">
                  <c:v>24.714285714285715</c:v>
                </c:pt>
                <c:pt idx="174">
                  <c:v>24.857142857142858</c:v>
                </c:pt>
                <c:pt idx="175">
                  <c:v>25</c:v>
                </c:pt>
                <c:pt idx="176">
                  <c:v>25.142857142857142</c:v>
                </c:pt>
                <c:pt idx="177">
                  <c:v>25.285714285714285</c:v>
                </c:pt>
                <c:pt idx="178">
                  <c:v>25.428571428571427</c:v>
                </c:pt>
                <c:pt idx="179">
                  <c:v>25.571428571428573</c:v>
                </c:pt>
                <c:pt idx="180">
                  <c:v>25.714285714285715</c:v>
                </c:pt>
                <c:pt idx="181">
                  <c:v>25.857142857142858</c:v>
                </c:pt>
                <c:pt idx="182">
                  <c:v>26</c:v>
                </c:pt>
                <c:pt idx="183">
                  <c:v>26.142857142857142</c:v>
                </c:pt>
                <c:pt idx="184">
                  <c:v>26.285714285714285</c:v>
                </c:pt>
                <c:pt idx="185">
                  <c:v>26.428571428571427</c:v>
                </c:pt>
                <c:pt idx="186">
                  <c:v>26.571428571428573</c:v>
                </c:pt>
                <c:pt idx="187">
                  <c:v>26.714285714285715</c:v>
                </c:pt>
                <c:pt idx="188">
                  <c:v>26.857142857142858</c:v>
                </c:pt>
                <c:pt idx="189">
                  <c:v>27</c:v>
                </c:pt>
                <c:pt idx="190">
                  <c:v>27.142857142857142</c:v>
                </c:pt>
                <c:pt idx="191">
                  <c:v>27.285714285714285</c:v>
                </c:pt>
                <c:pt idx="192">
                  <c:v>27.428571428571427</c:v>
                </c:pt>
                <c:pt idx="193">
                  <c:v>27.571428571428573</c:v>
                </c:pt>
                <c:pt idx="194">
                  <c:v>27.714285714285715</c:v>
                </c:pt>
                <c:pt idx="195">
                  <c:v>27.857142857142858</c:v>
                </c:pt>
                <c:pt idx="196">
                  <c:v>28</c:v>
                </c:pt>
                <c:pt idx="197">
                  <c:v>28.142857142857142</c:v>
                </c:pt>
                <c:pt idx="198">
                  <c:v>28.285714285714285</c:v>
                </c:pt>
                <c:pt idx="199">
                  <c:v>28.428571428571427</c:v>
                </c:pt>
                <c:pt idx="200">
                  <c:v>28.571428571428573</c:v>
                </c:pt>
                <c:pt idx="201">
                  <c:v>28.714285714285715</c:v>
                </c:pt>
                <c:pt idx="202">
                  <c:v>28.857142857142858</c:v>
                </c:pt>
                <c:pt idx="203">
                  <c:v>29</c:v>
                </c:pt>
                <c:pt idx="204">
                  <c:v>29.142857142857142</c:v>
                </c:pt>
                <c:pt idx="205">
                  <c:v>29.285714285714285</c:v>
                </c:pt>
                <c:pt idx="206">
                  <c:v>29.428571428571427</c:v>
                </c:pt>
                <c:pt idx="207">
                  <c:v>29.571428571428573</c:v>
                </c:pt>
                <c:pt idx="208">
                  <c:v>29.714285714285715</c:v>
                </c:pt>
                <c:pt idx="209">
                  <c:v>29.857142857142858</c:v>
                </c:pt>
                <c:pt idx="210">
                  <c:v>30</c:v>
                </c:pt>
                <c:pt idx="211">
                  <c:v>30.142857142857142</c:v>
                </c:pt>
                <c:pt idx="212">
                  <c:v>30.285714285714285</c:v>
                </c:pt>
                <c:pt idx="213">
                  <c:v>30.428571428571427</c:v>
                </c:pt>
                <c:pt idx="214">
                  <c:v>30.571428571428573</c:v>
                </c:pt>
                <c:pt idx="215">
                  <c:v>30.714285714285715</c:v>
                </c:pt>
                <c:pt idx="216">
                  <c:v>30.857142857142858</c:v>
                </c:pt>
                <c:pt idx="217">
                  <c:v>31</c:v>
                </c:pt>
                <c:pt idx="218">
                  <c:v>31.142857142857142</c:v>
                </c:pt>
                <c:pt idx="219">
                  <c:v>31.285714285714285</c:v>
                </c:pt>
                <c:pt idx="220">
                  <c:v>31.428571428571427</c:v>
                </c:pt>
                <c:pt idx="221">
                  <c:v>31.571428571428573</c:v>
                </c:pt>
                <c:pt idx="222">
                  <c:v>31.714285714285715</c:v>
                </c:pt>
                <c:pt idx="223">
                  <c:v>31.857142857142858</c:v>
                </c:pt>
                <c:pt idx="224">
                  <c:v>32</c:v>
                </c:pt>
                <c:pt idx="225">
                  <c:v>32.142857142857146</c:v>
                </c:pt>
                <c:pt idx="226">
                  <c:v>32.285714285714285</c:v>
                </c:pt>
                <c:pt idx="227">
                  <c:v>32.428571428571431</c:v>
                </c:pt>
                <c:pt idx="228">
                  <c:v>32.571428571428569</c:v>
                </c:pt>
                <c:pt idx="229">
                  <c:v>32.714285714285715</c:v>
                </c:pt>
                <c:pt idx="230">
                  <c:v>32.857142857142854</c:v>
                </c:pt>
                <c:pt idx="231">
                  <c:v>33</c:v>
                </c:pt>
                <c:pt idx="232">
                  <c:v>33.142857142857146</c:v>
                </c:pt>
                <c:pt idx="233">
                  <c:v>33.285714285714285</c:v>
                </c:pt>
                <c:pt idx="234">
                  <c:v>33.428571428571431</c:v>
                </c:pt>
                <c:pt idx="235">
                  <c:v>33.571428571428569</c:v>
                </c:pt>
                <c:pt idx="236">
                  <c:v>33.714285714285715</c:v>
                </c:pt>
                <c:pt idx="237">
                  <c:v>33.857142857142854</c:v>
                </c:pt>
                <c:pt idx="238">
                  <c:v>34</c:v>
                </c:pt>
                <c:pt idx="239">
                  <c:v>34.142857142857146</c:v>
                </c:pt>
                <c:pt idx="240">
                  <c:v>34.285714285714285</c:v>
                </c:pt>
                <c:pt idx="241">
                  <c:v>34.428571428571431</c:v>
                </c:pt>
                <c:pt idx="242">
                  <c:v>34.571428571428569</c:v>
                </c:pt>
                <c:pt idx="243">
                  <c:v>34.714285714285715</c:v>
                </c:pt>
                <c:pt idx="244">
                  <c:v>34.857142857142854</c:v>
                </c:pt>
                <c:pt idx="245">
                  <c:v>35</c:v>
                </c:pt>
                <c:pt idx="246">
                  <c:v>35.142857142857146</c:v>
                </c:pt>
                <c:pt idx="247">
                  <c:v>35.285714285714285</c:v>
                </c:pt>
                <c:pt idx="248">
                  <c:v>35.428571428571431</c:v>
                </c:pt>
                <c:pt idx="249">
                  <c:v>35.571428571428569</c:v>
                </c:pt>
                <c:pt idx="250">
                  <c:v>35.714285714285715</c:v>
                </c:pt>
                <c:pt idx="251">
                  <c:v>35.857142857142854</c:v>
                </c:pt>
                <c:pt idx="252">
                  <c:v>36</c:v>
                </c:pt>
                <c:pt idx="253">
                  <c:v>36.142857142857146</c:v>
                </c:pt>
                <c:pt idx="254">
                  <c:v>36.285714285714285</c:v>
                </c:pt>
                <c:pt idx="255">
                  <c:v>36.428571428571431</c:v>
                </c:pt>
                <c:pt idx="256">
                  <c:v>36.571428571428569</c:v>
                </c:pt>
                <c:pt idx="257">
                  <c:v>36.714285714285715</c:v>
                </c:pt>
                <c:pt idx="258">
                  <c:v>36.857142857142854</c:v>
                </c:pt>
                <c:pt idx="259">
                  <c:v>37</c:v>
                </c:pt>
                <c:pt idx="260">
                  <c:v>37.142857142857146</c:v>
                </c:pt>
                <c:pt idx="261">
                  <c:v>37.285714285714285</c:v>
                </c:pt>
                <c:pt idx="262">
                  <c:v>37.428571428571431</c:v>
                </c:pt>
                <c:pt idx="263">
                  <c:v>37.571428571428569</c:v>
                </c:pt>
                <c:pt idx="264">
                  <c:v>37.714285714285715</c:v>
                </c:pt>
                <c:pt idx="265">
                  <c:v>37.857142857142854</c:v>
                </c:pt>
                <c:pt idx="266">
                  <c:v>38</c:v>
                </c:pt>
                <c:pt idx="267">
                  <c:v>38.142857142857146</c:v>
                </c:pt>
                <c:pt idx="268">
                  <c:v>38.285714285714285</c:v>
                </c:pt>
                <c:pt idx="269">
                  <c:v>38.428571428571431</c:v>
                </c:pt>
                <c:pt idx="270">
                  <c:v>38.571428571428569</c:v>
                </c:pt>
                <c:pt idx="271">
                  <c:v>38.714285714285715</c:v>
                </c:pt>
                <c:pt idx="272">
                  <c:v>38.857142857142854</c:v>
                </c:pt>
                <c:pt idx="273">
                  <c:v>39</c:v>
                </c:pt>
                <c:pt idx="274">
                  <c:v>39.142857142857146</c:v>
                </c:pt>
                <c:pt idx="275">
                  <c:v>39.285714285714285</c:v>
                </c:pt>
                <c:pt idx="276">
                  <c:v>39.428571428571431</c:v>
                </c:pt>
                <c:pt idx="277">
                  <c:v>39.571428571428569</c:v>
                </c:pt>
                <c:pt idx="278">
                  <c:v>39.714285714285715</c:v>
                </c:pt>
                <c:pt idx="279">
                  <c:v>39.857142857142854</c:v>
                </c:pt>
                <c:pt idx="280">
                  <c:v>40</c:v>
                </c:pt>
                <c:pt idx="281">
                  <c:v>40.142857142857146</c:v>
                </c:pt>
                <c:pt idx="282">
                  <c:v>40.285714285714285</c:v>
                </c:pt>
                <c:pt idx="283">
                  <c:v>40.428571428571431</c:v>
                </c:pt>
                <c:pt idx="284">
                  <c:v>40.571428571428569</c:v>
                </c:pt>
                <c:pt idx="285">
                  <c:v>40.714285714285715</c:v>
                </c:pt>
                <c:pt idx="286">
                  <c:v>40.857142857142854</c:v>
                </c:pt>
                <c:pt idx="287">
                  <c:v>41</c:v>
                </c:pt>
                <c:pt idx="288">
                  <c:v>41.142857142857146</c:v>
                </c:pt>
                <c:pt idx="289">
                  <c:v>41.285714285714285</c:v>
                </c:pt>
                <c:pt idx="290">
                  <c:v>41.428571428571431</c:v>
                </c:pt>
                <c:pt idx="291">
                  <c:v>41.571428571428569</c:v>
                </c:pt>
                <c:pt idx="292">
                  <c:v>41.714285714285715</c:v>
                </c:pt>
                <c:pt idx="293">
                  <c:v>41.857142857142854</c:v>
                </c:pt>
                <c:pt idx="294">
                  <c:v>42</c:v>
                </c:pt>
                <c:pt idx="295">
                  <c:v>42.142857142857146</c:v>
                </c:pt>
                <c:pt idx="296">
                  <c:v>42.285714285714285</c:v>
                </c:pt>
                <c:pt idx="297">
                  <c:v>42.428571428571431</c:v>
                </c:pt>
                <c:pt idx="298">
                  <c:v>42.571428571428569</c:v>
                </c:pt>
                <c:pt idx="299">
                  <c:v>42.714285714285715</c:v>
                </c:pt>
                <c:pt idx="300">
                  <c:v>42.857142857142854</c:v>
                </c:pt>
                <c:pt idx="301">
                  <c:v>43</c:v>
                </c:pt>
                <c:pt idx="302">
                  <c:v>43.142857142857146</c:v>
                </c:pt>
                <c:pt idx="303">
                  <c:v>43.285714285714285</c:v>
                </c:pt>
                <c:pt idx="304">
                  <c:v>43.428571428571431</c:v>
                </c:pt>
                <c:pt idx="305">
                  <c:v>43.571428571428569</c:v>
                </c:pt>
                <c:pt idx="306">
                  <c:v>43.714285714285715</c:v>
                </c:pt>
                <c:pt idx="307">
                  <c:v>43.857142857142854</c:v>
                </c:pt>
                <c:pt idx="308">
                  <c:v>44</c:v>
                </c:pt>
                <c:pt idx="309">
                  <c:v>44.142857142857146</c:v>
                </c:pt>
                <c:pt idx="310">
                  <c:v>44.285714285714285</c:v>
                </c:pt>
                <c:pt idx="311">
                  <c:v>44.428571428571431</c:v>
                </c:pt>
                <c:pt idx="312">
                  <c:v>44.571428571428569</c:v>
                </c:pt>
                <c:pt idx="313">
                  <c:v>44.714285714285715</c:v>
                </c:pt>
                <c:pt idx="314">
                  <c:v>44.857142857142854</c:v>
                </c:pt>
                <c:pt idx="315">
                  <c:v>45</c:v>
                </c:pt>
                <c:pt idx="316">
                  <c:v>45.142857142857146</c:v>
                </c:pt>
                <c:pt idx="317">
                  <c:v>45.285714285714285</c:v>
                </c:pt>
                <c:pt idx="318">
                  <c:v>45.428571428571431</c:v>
                </c:pt>
                <c:pt idx="319">
                  <c:v>45.571428571428569</c:v>
                </c:pt>
                <c:pt idx="320">
                  <c:v>45.714285714285715</c:v>
                </c:pt>
                <c:pt idx="321">
                  <c:v>45.857142857142854</c:v>
                </c:pt>
                <c:pt idx="322">
                  <c:v>46</c:v>
                </c:pt>
                <c:pt idx="323">
                  <c:v>46.142857142857146</c:v>
                </c:pt>
                <c:pt idx="324">
                  <c:v>46.285714285714285</c:v>
                </c:pt>
                <c:pt idx="325">
                  <c:v>46.428571428571431</c:v>
                </c:pt>
                <c:pt idx="326">
                  <c:v>46.571428571428569</c:v>
                </c:pt>
                <c:pt idx="327">
                  <c:v>46.714285714285715</c:v>
                </c:pt>
                <c:pt idx="328">
                  <c:v>46.857142857142854</c:v>
                </c:pt>
                <c:pt idx="329">
                  <c:v>47</c:v>
                </c:pt>
                <c:pt idx="330">
                  <c:v>47.142857142857146</c:v>
                </c:pt>
                <c:pt idx="331">
                  <c:v>47.285714285714285</c:v>
                </c:pt>
                <c:pt idx="332">
                  <c:v>47.428571428571431</c:v>
                </c:pt>
                <c:pt idx="333">
                  <c:v>47.571428571428569</c:v>
                </c:pt>
                <c:pt idx="334">
                  <c:v>47.714285714285715</c:v>
                </c:pt>
                <c:pt idx="335">
                  <c:v>47.857142857142854</c:v>
                </c:pt>
                <c:pt idx="336">
                  <c:v>48</c:v>
                </c:pt>
                <c:pt idx="337">
                  <c:v>48.142857142857146</c:v>
                </c:pt>
                <c:pt idx="338">
                  <c:v>48.285714285714285</c:v>
                </c:pt>
                <c:pt idx="339">
                  <c:v>48.428571428571431</c:v>
                </c:pt>
                <c:pt idx="340">
                  <c:v>48.571428571428569</c:v>
                </c:pt>
                <c:pt idx="341">
                  <c:v>48.714285714285715</c:v>
                </c:pt>
                <c:pt idx="342">
                  <c:v>48.857142857142854</c:v>
                </c:pt>
                <c:pt idx="343">
                  <c:v>49</c:v>
                </c:pt>
                <c:pt idx="344">
                  <c:v>49.142857142857146</c:v>
                </c:pt>
                <c:pt idx="345">
                  <c:v>49.285714285714285</c:v>
                </c:pt>
                <c:pt idx="346">
                  <c:v>49.428571428571431</c:v>
                </c:pt>
                <c:pt idx="347">
                  <c:v>49.571428571428569</c:v>
                </c:pt>
                <c:pt idx="348">
                  <c:v>49.714285714285715</c:v>
                </c:pt>
                <c:pt idx="349">
                  <c:v>49.857142857142854</c:v>
                </c:pt>
                <c:pt idx="350">
                  <c:v>50</c:v>
                </c:pt>
                <c:pt idx="351">
                  <c:v>50.142857142857146</c:v>
                </c:pt>
                <c:pt idx="352">
                  <c:v>50.285714285714285</c:v>
                </c:pt>
                <c:pt idx="353">
                  <c:v>50.428571428571431</c:v>
                </c:pt>
                <c:pt idx="354">
                  <c:v>50.571428571428569</c:v>
                </c:pt>
                <c:pt idx="355">
                  <c:v>50.714285714285715</c:v>
                </c:pt>
                <c:pt idx="356">
                  <c:v>50.857142857142854</c:v>
                </c:pt>
                <c:pt idx="357">
                  <c:v>51</c:v>
                </c:pt>
                <c:pt idx="358">
                  <c:v>51.142857142857146</c:v>
                </c:pt>
                <c:pt idx="359">
                  <c:v>51.285714285714285</c:v>
                </c:pt>
                <c:pt idx="360">
                  <c:v>51.428571428571431</c:v>
                </c:pt>
                <c:pt idx="361">
                  <c:v>51.571428571428569</c:v>
                </c:pt>
                <c:pt idx="362">
                  <c:v>51.714285714285715</c:v>
                </c:pt>
                <c:pt idx="363">
                  <c:v>51.857142857142854</c:v>
                </c:pt>
                <c:pt idx="364">
                  <c:v>52</c:v>
                </c:pt>
                <c:pt idx="365">
                  <c:v>52.142857142857146</c:v>
                </c:pt>
                <c:pt idx="366">
                  <c:v>52.285714285714285</c:v>
                </c:pt>
                <c:pt idx="367">
                  <c:v>52.428571428571431</c:v>
                </c:pt>
                <c:pt idx="368">
                  <c:v>52.571428571428569</c:v>
                </c:pt>
                <c:pt idx="369">
                  <c:v>52.714285714285715</c:v>
                </c:pt>
                <c:pt idx="370">
                  <c:v>52.857142857142854</c:v>
                </c:pt>
                <c:pt idx="371">
                  <c:v>53</c:v>
                </c:pt>
                <c:pt idx="372">
                  <c:v>53.142857142857146</c:v>
                </c:pt>
                <c:pt idx="373">
                  <c:v>53.285714285714285</c:v>
                </c:pt>
                <c:pt idx="374">
                  <c:v>53.428571428571431</c:v>
                </c:pt>
                <c:pt idx="375">
                  <c:v>53.571428571428569</c:v>
                </c:pt>
                <c:pt idx="376">
                  <c:v>53.714285714285715</c:v>
                </c:pt>
                <c:pt idx="377">
                  <c:v>53.857142857142854</c:v>
                </c:pt>
                <c:pt idx="378">
                  <c:v>54</c:v>
                </c:pt>
                <c:pt idx="379">
                  <c:v>54.142857142857146</c:v>
                </c:pt>
                <c:pt idx="380">
                  <c:v>54.285714285714285</c:v>
                </c:pt>
                <c:pt idx="381">
                  <c:v>54.428571428571431</c:v>
                </c:pt>
                <c:pt idx="382">
                  <c:v>54.571428571428569</c:v>
                </c:pt>
                <c:pt idx="383">
                  <c:v>54.714285714285715</c:v>
                </c:pt>
                <c:pt idx="384">
                  <c:v>54.857142857142854</c:v>
                </c:pt>
                <c:pt idx="385">
                  <c:v>55</c:v>
                </c:pt>
                <c:pt idx="386">
                  <c:v>55.142857142857146</c:v>
                </c:pt>
                <c:pt idx="387">
                  <c:v>55.285714285714285</c:v>
                </c:pt>
                <c:pt idx="388">
                  <c:v>55.428571428571431</c:v>
                </c:pt>
                <c:pt idx="389">
                  <c:v>55.571428571428569</c:v>
                </c:pt>
                <c:pt idx="390">
                  <c:v>55.714285714285715</c:v>
                </c:pt>
                <c:pt idx="391">
                  <c:v>55.857142857142854</c:v>
                </c:pt>
                <c:pt idx="392">
                  <c:v>56</c:v>
                </c:pt>
                <c:pt idx="393">
                  <c:v>56.142857142857146</c:v>
                </c:pt>
                <c:pt idx="394">
                  <c:v>56.285714285714285</c:v>
                </c:pt>
                <c:pt idx="395">
                  <c:v>56.428571428571431</c:v>
                </c:pt>
                <c:pt idx="396">
                  <c:v>56.571428571428569</c:v>
                </c:pt>
                <c:pt idx="397">
                  <c:v>56.714285714285715</c:v>
                </c:pt>
                <c:pt idx="398">
                  <c:v>56.857142857142854</c:v>
                </c:pt>
                <c:pt idx="399">
                  <c:v>57</c:v>
                </c:pt>
                <c:pt idx="400">
                  <c:v>57.142857142857146</c:v>
                </c:pt>
                <c:pt idx="401">
                  <c:v>57.285714285714285</c:v>
                </c:pt>
                <c:pt idx="402">
                  <c:v>57.428571428571431</c:v>
                </c:pt>
                <c:pt idx="403">
                  <c:v>57.571428571428569</c:v>
                </c:pt>
                <c:pt idx="404">
                  <c:v>57.714285714285715</c:v>
                </c:pt>
                <c:pt idx="405">
                  <c:v>57.857142857142854</c:v>
                </c:pt>
                <c:pt idx="406">
                  <c:v>58</c:v>
                </c:pt>
                <c:pt idx="407">
                  <c:v>58.142857142857146</c:v>
                </c:pt>
                <c:pt idx="408">
                  <c:v>58.285714285714285</c:v>
                </c:pt>
                <c:pt idx="409">
                  <c:v>58.428571428571431</c:v>
                </c:pt>
                <c:pt idx="410">
                  <c:v>58.571428571428569</c:v>
                </c:pt>
                <c:pt idx="411">
                  <c:v>58.714285714285715</c:v>
                </c:pt>
                <c:pt idx="412">
                  <c:v>58.857142857142854</c:v>
                </c:pt>
                <c:pt idx="413">
                  <c:v>59</c:v>
                </c:pt>
                <c:pt idx="414">
                  <c:v>59.142857142857146</c:v>
                </c:pt>
                <c:pt idx="415">
                  <c:v>59.285714285714285</c:v>
                </c:pt>
                <c:pt idx="416">
                  <c:v>59.428571428571431</c:v>
                </c:pt>
                <c:pt idx="417">
                  <c:v>59.571428571428569</c:v>
                </c:pt>
                <c:pt idx="418">
                  <c:v>59.714285714285715</c:v>
                </c:pt>
                <c:pt idx="419">
                  <c:v>59.857142857142854</c:v>
                </c:pt>
                <c:pt idx="420">
                  <c:v>60</c:v>
                </c:pt>
                <c:pt idx="421">
                  <c:v>60.142857142857146</c:v>
                </c:pt>
                <c:pt idx="422">
                  <c:v>60.285714285714285</c:v>
                </c:pt>
                <c:pt idx="423">
                  <c:v>60.428571428571431</c:v>
                </c:pt>
                <c:pt idx="424">
                  <c:v>60.571428571428569</c:v>
                </c:pt>
                <c:pt idx="425">
                  <c:v>60.714285714285715</c:v>
                </c:pt>
                <c:pt idx="426">
                  <c:v>60.857142857142854</c:v>
                </c:pt>
                <c:pt idx="427">
                  <c:v>61</c:v>
                </c:pt>
                <c:pt idx="428">
                  <c:v>61.142857142857146</c:v>
                </c:pt>
                <c:pt idx="429">
                  <c:v>61.285714285714285</c:v>
                </c:pt>
                <c:pt idx="430">
                  <c:v>61.428571428571431</c:v>
                </c:pt>
                <c:pt idx="431">
                  <c:v>61.571428571428569</c:v>
                </c:pt>
                <c:pt idx="432">
                  <c:v>61.714285714285715</c:v>
                </c:pt>
                <c:pt idx="433">
                  <c:v>61.857142857142854</c:v>
                </c:pt>
                <c:pt idx="434">
                  <c:v>62</c:v>
                </c:pt>
                <c:pt idx="435">
                  <c:v>62.142857142857146</c:v>
                </c:pt>
                <c:pt idx="436">
                  <c:v>62.285714285714285</c:v>
                </c:pt>
                <c:pt idx="437">
                  <c:v>62.428571428571431</c:v>
                </c:pt>
                <c:pt idx="438">
                  <c:v>62.571428571428569</c:v>
                </c:pt>
                <c:pt idx="439">
                  <c:v>62.714285714285715</c:v>
                </c:pt>
                <c:pt idx="440">
                  <c:v>62.857142857142854</c:v>
                </c:pt>
                <c:pt idx="441">
                  <c:v>63</c:v>
                </c:pt>
                <c:pt idx="442">
                  <c:v>63.142857142857146</c:v>
                </c:pt>
                <c:pt idx="443">
                  <c:v>63.285714285714285</c:v>
                </c:pt>
                <c:pt idx="444">
                  <c:v>63.428571428571431</c:v>
                </c:pt>
                <c:pt idx="445">
                  <c:v>63.571428571428569</c:v>
                </c:pt>
                <c:pt idx="446">
                  <c:v>63.714285714285715</c:v>
                </c:pt>
                <c:pt idx="447">
                  <c:v>63.857142857142854</c:v>
                </c:pt>
                <c:pt idx="448">
                  <c:v>64</c:v>
                </c:pt>
                <c:pt idx="449">
                  <c:v>64.142857142857139</c:v>
                </c:pt>
                <c:pt idx="450">
                  <c:v>64.285714285714292</c:v>
                </c:pt>
                <c:pt idx="451">
                  <c:v>64.428571428571431</c:v>
                </c:pt>
                <c:pt idx="452">
                  <c:v>64.571428571428569</c:v>
                </c:pt>
                <c:pt idx="453">
                  <c:v>64.714285714285708</c:v>
                </c:pt>
                <c:pt idx="454">
                  <c:v>64.857142857142861</c:v>
                </c:pt>
                <c:pt idx="455">
                  <c:v>65</c:v>
                </c:pt>
                <c:pt idx="456">
                  <c:v>65.142857142857139</c:v>
                </c:pt>
                <c:pt idx="457">
                  <c:v>65.285714285714292</c:v>
                </c:pt>
                <c:pt idx="458">
                  <c:v>65.428571428571431</c:v>
                </c:pt>
                <c:pt idx="459">
                  <c:v>65.571428571428569</c:v>
                </c:pt>
                <c:pt idx="460">
                  <c:v>65.714285714285708</c:v>
                </c:pt>
                <c:pt idx="461">
                  <c:v>65.857142857142861</c:v>
                </c:pt>
                <c:pt idx="462">
                  <c:v>66</c:v>
                </c:pt>
                <c:pt idx="463">
                  <c:v>66.142857142857139</c:v>
                </c:pt>
                <c:pt idx="464">
                  <c:v>66.285714285714292</c:v>
                </c:pt>
                <c:pt idx="465">
                  <c:v>66.428571428571431</c:v>
                </c:pt>
                <c:pt idx="466">
                  <c:v>66.571428571428569</c:v>
                </c:pt>
                <c:pt idx="467">
                  <c:v>66.714285714285708</c:v>
                </c:pt>
                <c:pt idx="468">
                  <c:v>66.857142857142861</c:v>
                </c:pt>
                <c:pt idx="469">
                  <c:v>67</c:v>
                </c:pt>
                <c:pt idx="470">
                  <c:v>67.142857142857139</c:v>
                </c:pt>
                <c:pt idx="471">
                  <c:v>67.285714285714292</c:v>
                </c:pt>
                <c:pt idx="472">
                  <c:v>67.428571428571431</c:v>
                </c:pt>
                <c:pt idx="473">
                  <c:v>67.571428571428569</c:v>
                </c:pt>
                <c:pt idx="474">
                  <c:v>67.714285714285708</c:v>
                </c:pt>
                <c:pt idx="475">
                  <c:v>67.857142857142861</c:v>
                </c:pt>
                <c:pt idx="476">
                  <c:v>68</c:v>
                </c:pt>
                <c:pt idx="477">
                  <c:v>68.142857142857139</c:v>
                </c:pt>
                <c:pt idx="478">
                  <c:v>68.285714285714292</c:v>
                </c:pt>
                <c:pt idx="479">
                  <c:v>68.428571428571431</c:v>
                </c:pt>
                <c:pt idx="480">
                  <c:v>68.571428571428569</c:v>
                </c:pt>
                <c:pt idx="481">
                  <c:v>68.714285714285708</c:v>
                </c:pt>
                <c:pt idx="482">
                  <c:v>68.857142857142861</c:v>
                </c:pt>
                <c:pt idx="483">
                  <c:v>69</c:v>
                </c:pt>
                <c:pt idx="484">
                  <c:v>69.142857142857139</c:v>
                </c:pt>
                <c:pt idx="485">
                  <c:v>69.285714285714292</c:v>
                </c:pt>
                <c:pt idx="486">
                  <c:v>69.428571428571431</c:v>
                </c:pt>
                <c:pt idx="487">
                  <c:v>69.571428571428569</c:v>
                </c:pt>
                <c:pt idx="488">
                  <c:v>69.714285714285708</c:v>
                </c:pt>
                <c:pt idx="489">
                  <c:v>69.857142857142861</c:v>
                </c:pt>
                <c:pt idx="490">
                  <c:v>70</c:v>
                </c:pt>
                <c:pt idx="491">
                  <c:v>70.142857142857139</c:v>
                </c:pt>
                <c:pt idx="492">
                  <c:v>70.285714285714292</c:v>
                </c:pt>
                <c:pt idx="493">
                  <c:v>70.428571428571431</c:v>
                </c:pt>
                <c:pt idx="494">
                  <c:v>70.571428571428569</c:v>
                </c:pt>
                <c:pt idx="495">
                  <c:v>70.714285714285708</c:v>
                </c:pt>
                <c:pt idx="496">
                  <c:v>70.857142857142861</c:v>
                </c:pt>
                <c:pt idx="497">
                  <c:v>71</c:v>
                </c:pt>
                <c:pt idx="498">
                  <c:v>71.142857142857139</c:v>
                </c:pt>
                <c:pt idx="499">
                  <c:v>71.285714285714292</c:v>
                </c:pt>
                <c:pt idx="500">
                  <c:v>71.428571428571431</c:v>
                </c:pt>
                <c:pt idx="501">
                  <c:v>71.571428571428569</c:v>
                </c:pt>
                <c:pt idx="502">
                  <c:v>71.714285714285708</c:v>
                </c:pt>
                <c:pt idx="503">
                  <c:v>71.857142857142861</c:v>
                </c:pt>
                <c:pt idx="504">
                  <c:v>72</c:v>
                </c:pt>
                <c:pt idx="505">
                  <c:v>72.142857142857139</c:v>
                </c:pt>
                <c:pt idx="506">
                  <c:v>72.285714285714292</c:v>
                </c:pt>
                <c:pt idx="507">
                  <c:v>72.428571428571431</c:v>
                </c:pt>
                <c:pt idx="508">
                  <c:v>72.571428571428569</c:v>
                </c:pt>
                <c:pt idx="509">
                  <c:v>72.714285714285708</c:v>
                </c:pt>
                <c:pt idx="510">
                  <c:v>72.857142857142861</c:v>
                </c:pt>
                <c:pt idx="511">
                  <c:v>73</c:v>
                </c:pt>
                <c:pt idx="512">
                  <c:v>73.142857142857139</c:v>
                </c:pt>
                <c:pt idx="513">
                  <c:v>73.285714285714292</c:v>
                </c:pt>
                <c:pt idx="514">
                  <c:v>73.428571428571431</c:v>
                </c:pt>
                <c:pt idx="515">
                  <c:v>73.571428571428569</c:v>
                </c:pt>
                <c:pt idx="516">
                  <c:v>73.714285714285708</c:v>
                </c:pt>
                <c:pt idx="517">
                  <c:v>73.857142857142861</c:v>
                </c:pt>
                <c:pt idx="518">
                  <c:v>74</c:v>
                </c:pt>
                <c:pt idx="519">
                  <c:v>74.142857142857139</c:v>
                </c:pt>
                <c:pt idx="520">
                  <c:v>74.285714285714292</c:v>
                </c:pt>
                <c:pt idx="521">
                  <c:v>74.428571428571431</c:v>
                </c:pt>
                <c:pt idx="522">
                  <c:v>74.571428571428569</c:v>
                </c:pt>
                <c:pt idx="523">
                  <c:v>74.714285714285708</c:v>
                </c:pt>
                <c:pt idx="524">
                  <c:v>74.857142857142861</c:v>
                </c:pt>
                <c:pt idx="525">
                  <c:v>75</c:v>
                </c:pt>
                <c:pt idx="526">
                  <c:v>75.142857142857139</c:v>
                </c:pt>
                <c:pt idx="527">
                  <c:v>75.285714285714292</c:v>
                </c:pt>
                <c:pt idx="528">
                  <c:v>75.428571428571431</c:v>
                </c:pt>
                <c:pt idx="529">
                  <c:v>75.571428571428569</c:v>
                </c:pt>
                <c:pt idx="530">
                  <c:v>75.714285714285708</c:v>
                </c:pt>
                <c:pt idx="531">
                  <c:v>75.857142857142861</c:v>
                </c:pt>
                <c:pt idx="532">
                  <c:v>76</c:v>
                </c:pt>
                <c:pt idx="533">
                  <c:v>76.142857142857139</c:v>
                </c:pt>
                <c:pt idx="534">
                  <c:v>76.285714285714292</c:v>
                </c:pt>
                <c:pt idx="535">
                  <c:v>76.428571428571431</c:v>
                </c:pt>
                <c:pt idx="536">
                  <c:v>76.571428571428569</c:v>
                </c:pt>
                <c:pt idx="537">
                  <c:v>76.714285714285708</c:v>
                </c:pt>
                <c:pt idx="538">
                  <c:v>76.857142857142861</c:v>
                </c:pt>
                <c:pt idx="539">
                  <c:v>77</c:v>
                </c:pt>
                <c:pt idx="540">
                  <c:v>77.142857142857139</c:v>
                </c:pt>
                <c:pt idx="541">
                  <c:v>77.285714285714292</c:v>
                </c:pt>
                <c:pt idx="542">
                  <c:v>77.428571428571431</c:v>
                </c:pt>
                <c:pt idx="543">
                  <c:v>77.571428571428569</c:v>
                </c:pt>
                <c:pt idx="544">
                  <c:v>77.714285714285708</c:v>
                </c:pt>
                <c:pt idx="545">
                  <c:v>77.857142857142861</c:v>
                </c:pt>
                <c:pt idx="546">
                  <c:v>78</c:v>
                </c:pt>
                <c:pt idx="547">
                  <c:v>78.142857142857139</c:v>
                </c:pt>
                <c:pt idx="548">
                  <c:v>78.285714285714292</c:v>
                </c:pt>
                <c:pt idx="549">
                  <c:v>78.428571428571431</c:v>
                </c:pt>
                <c:pt idx="550">
                  <c:v>78.571428571428569</c:v>
                </c:pt>
                <c:pt idx="551">
                  <c:v>78.714285714285708</c:v>
                </c:pt>
                <c:pt idx="552">
                  <c:v>78.857142857142861</c:v>
                </c:pt>
                <c:pt idx="553">
                  <c:v>79</c:v>
                </c:pt>
                <c:pt idx="554">
                  <c:v>79.142857142857139</c:v>
                </c:pt>
                <c:pt idx="555">
                  <c:v>79.285714285714292</c:v>
                </c:pt>
                <c:pt idx="556">
                  <c:v>79.428571428571431</c:v>
                </c:pt>
                <c:pt idx="557">
                  <c:v>79.571428571428569</c:v>
                </c:pt>
                <c:pt idx="558">
                  <c:v>79.714285714285708</c:v>
                </c:pt>
                <c:pt idx="559">
                  <c:v>79.857142857142861</c:v>
                </c:pt>
                <c:pt idx="560">
                  <c:v>80</c:v>
                </c:pt>
                <c:pt idx="561">
                  <c:v>80.142857142857139</c:v>
                </c:pt>
                <c:pt idx="562">
                  <c:v>80.285714285714292</c:v>
                </c:pt>
                <c:pt idx="563">
                  <c:v>80.428571428571431</c:v>
                </c:pt>
                <c:pt idx="564">
                  <c:v>80.571428571428569</c:v>
                </c:pt>
                <c:pt idx="565">
                  <c:v>80.714285714285708</c:v>
                </c:pt>
                <c:pt idx="566">
                  <c:v>80.857142857142861</c:v>
                </c:pt>
                <c:pt idx="567">
                  <c:v>81</c:v>
                </c:pt>
                <c:pt idx="568">
                  <c:v>81.142857142857139</c:v>
                </c:pt>
                <c:pt idx="569">
                  <c:v>81.285714285714292</c:v>
                </c:pt>
                <c:pt idx="570">
                  <c:v>81.428571428571431</c:v>
                </c:pt>
                <c:pt idx="571">
                  <c:v>81.571428571428569</c:v>
                </c:pt>
                <c:pt idx="572">
                  <c:v>81.714285714285708</c:v>
                </c:pt>
                <c:pt idx="573">
                  <c:v>81.857142857142861</c:v>
                </c:pt>
                <c:pt idx="574">
                  <c:v>82</c:v>
                </c:pt>
                <c:pt idx="575">
                  <c:v>82.142857142857139</c:v>
                </c:pt>
                <c:pt idx="576">
                  <c:v>82.285714285714292</c:v>
                </c:pt>
                <c:pt idx="577">
                  <c:v>82.428571428571431</c:v>
                </c:pt>
                <c:pt idx="578">
                  <c:v>82.571428571428569</c:v>
                </c:pt>
                <c:pt idx="579">
                  <c:v>82.714285714285708</c:v>
                </c:pt>
                <c:pt idx="580">
                  <c:v>82.857142857142861</c:v>
                </c:pt>
                <c:pt idx="581">
                  <c:v>83</c:v>
                </c:pt>
                <c:pt idx="582">
                  <c:v>83.142857142857139</c:v>
                </c:pt>
                <c:pt idx="583">
                  <c:v>83.285714285714292</c:v>
                </c:pt>
                <c:pt idx="584">
                  <c:v>83.428571428571431</c:v>
                </c:pt>
                <c:pt idx="585">
                  <c:v>83.571428571428569</c:v>
                </c:pt>
                <c:pt idx="586">
                  <c:v>83.714285714285708</c:v>
                </c:pt>
                <c:pt idx="587">
                  <c:v>83.857142857142861</c:v>
                </c:pt>
                <c:pt idx="588">
                  <c:v>84</c:v>
                </c:pt>
                <c:pt idx="589">
                  <c:v>84.142857142857139</c:v>
                </c:pt>
                <c:pt idx="590">
                  <c:v>84.285714285714292</c:v>
                </c:pt>
                <c:pt idx="591">
                  <c:v>84.428571428571431</c:v>
                </c:pt>
                <c:pt idx="592">
                  <c:v>84.571428571428569</c:v>
                </c:pt>
                <c:pt idx="593">
                  <c:v>84.714285714285708</c:v>
                </c:pt>
                <c:pt idx="594">
                  <c:v>84.857142857142861</c:v>
                </c:pt>
                <c:pt idx="595">
                  <c:v>85</c:v>
                </c:pt>
                <c:pt idx="596">
                  <c:v>85.142857142857139</c:v>
                </c:pt>
                <c:pt idx="597">
                  <c:v>85.285714285714292</c:v>
                </c:pt>
                <c:pt idx="598">
                  <c:v>85.428571428571431</c:v>
                </c:pt>
                <c:pt idx="599">
                  <c:v>85.571428571428569</c:v>
                </c:pt>
                <c:pt idx="600">
                  <c:v>85.714285714285708</c:v>
                </c:pt>
                <c:pt idx="601">
                  <c:v>85.857142857142861</c:v>
                </c:pt>
                <c:pt idx="602">
                  <c:v>86</c:v>
                </c:pt>
                <c:pt idx="603">
                  <c:v>86.142857142857139</c:v>
                </c:pt>
                <c:pt idx="604">
                  <c:v>86.285714285714292</c:v>
                </c:pt>
                <c:pt idx="605">
                  <c:v>86.428571428571431</c:v>
                </c:pt>
                <c:pt idx="606">
                  <c:v>86.571428571428569</c:v>
                </c:pt>
                <c:pt idx="607">
                  <c:v>86.714285714285708</c:v>
                </c:pt>
                <c:pt idx="608">
                  <c:v>86.857142857142861</c:v>
                </c:pt>
                <c:pt idx="609">
                  <c:v>87</c:v>
                </c:pt>
                <c:pt idx="610">
                  <c:v>87.142857142857139</c:v>
                </c:pt>
                <c:pt idx="611">
                  <c:v>87.285714285714292</c:v>
                </c:pt>
                <c:pt idx="612">
                  <c:v>87.428571428571431</c:v>
                </c:pt>
                <c:pt idx="613">
                  <c:v>87.571428571428569</c:v>
                </c:pt>
                <c:pt idx="614">
                  <c:v>87.714285714285708</c:v>
                </c:pt>
                <c:pt idx="615">
                  <c:v>87.857142857142861</c:v>
                </c:pt>
                <c:pt idx="616">
                  <c:v>88</c:v>
                </c:pt>
                <c:pt idx="617">
                  <c:v>88.142857142857139</c:v>
                </c:pt>
                <c:pt idx="618">
                  <c:v>88.285714285714292</c:v>
                </c:pt>
                <c:pt idx="619">
                  <c:v>88.428571428571431</c:v>
                </c:pt>
                <c:pt idx="620">
                  <c:v>88.571428571428569</c:v>
                </c:pt>
                <c:pt idx="621">
                  <c:v>88.714285714285708</c:v>
                </c:pt>
                <c:pt idx="622">
                  <c:v>88.857142857142861</c:v>
                </c:pt>
                <c:pt idx="623">
                  <c:v>89</c:v>
                </c:pt>
                <c:pt idx="624">
                  <c:v>89.142857142857139</c:v>
                </c:pt>
                <c:pt idx="625">
                  <c:v>89.285714285714292</c:v>
                </c:pt>
                <c:pt idx="626">
                  <c:v>89.428571428571431</c:v>
                </c:pt>
                <c:pt idx="627">
                  <c:v>89.571428571428569</c:v>
                </c:pt>
                <c:pt idx="628">
                  <c:v>89.714285714285708</c:v>
                </c:pt>
                <c:pt idx="629">
                  <c:v>89.857142857142861</c:v>
                </c:pt>
                <c:pt idx="630">
                  <c:v>90</c:v>
                </c:pt>
                <c:pt idx="631">
                  <c:v>90.142857142857139</c:v>
                </c:pt>
                <c:pt idx="632">
                  <c:v>90.285714285714292</c:v>
                </c:pt>
                <c:pt idx="633">
                  <c:v>90.428571428571431</c:v>
                </c:pt>
                <c:pt idx="634">
                  <c:v>90.571428571428569</c:v>
                </c:pt>
                <c:pt idx="635">
                  <c:v>90.714285714285708</c:v>
                </c:pt>
                <c:pt idx="636">
                  <c:v>90.857142857142861</c:v>
                </c:pt>
                <c:pt idx="637">
                  <c:v>91</c:v>
                </c:pt>
                <c:pt idx="638">
                  <c:v>91.142857142857139</c:v>
                </c:pt>
                <c:pt idx="639">
                  <c:v>91.285714285714292</c:v>
                </c:pt>
                <c:pt idx="640">
                  <c:v>91.428571428571431</c:v>
                </c:pt>
                <c:pt idx="641">
                  <c:v>91.571428571428569</c:v>
                </c:pt>
                <c:pt idx="642">
                  <c:v>91.714285714285708</c:v>
                </c:pt>
                <c:pt idx="643">
                  <c:v>91.857142857142861</c:v>
                </c:pt>
                <c:pt idx="644">
                  <c:v>92</c:v>
                </c:pt>
                <c:pt idx="645">
                  <c:v>92.142857142857139</c:v>
                </c:pt>
                <c:pt idx="646">
                  <c:v>92.285714285714292</c:v>
                </c:pt>
                <c:pt idx="647">
                  <c:v>92.428571428571431</c:v>
                </c:pt>
                <c:pt idx="648">
                  <c:v>92.571428571428569</c:v>
                </c:pt>
                <c:pt idx="649">
                  <c:v>92.714285714285708</c:v>
                </c:pt>
                <c:pt idx="650">
                  <c:v>92.857142857142861</c:v>
                </c:pt>
                <c:pt idx="651">
                  <c:v>93</c:v>
                </c:pt>
                <c:pt idx="652">
                  <c:v>93.142857142857139</c:v>
                </c:pt>
                <c:pt idx="653">
                  <c:v>93.285714285714292</c:v>
                </c:pt>
                <c:pt idx="654">
                  <c:v>93.428571428571431</c:v>
                </c:pt>
                <c:pt idx="655">
                  <c:v>93.571428571428569</c:v>
                </c:pt>
                <c:pt idx="656">
                  <c:v>93.714285714285708</c:v>
                </c:pt>
                <c:pt idx="657">
                  <c:v>93.857142857142861</c:v>
                </c:pt>
                <c:pt idx="658">
                  <c:v>94</c:v>
                </c:pt>
                <c:pt idx="659">
                  <c:v>94.142857142857139</c:v>
                </c:pt>
                <c:pt idx="660">
                  <c:v>94.285714285714292</c:v>
                </c:pt>
                <c:pt idx="661">
                  <c:v>94.428571428571431</c:v>
                </c:pt>
                <c:pt idx="662">
                  <c:v>94.571428571428569</c:v>
                </c:pt>
                <c:pt idx="663">
                  <c:v>94.714285714285708</c:v>
                </c:pt>
                <c:pt idx="664">
                  <c:v>94.857142857142861</c:v>
                </c:pt>
                <c:pt idx="665">
                  <c:v>95</c:v>
                </c:pt>
                <c:pt idx="666">
                  <c:v>95.142857142857139</c:v>
                </c:pt>
                <c:pt idx="667">
                  <c:v>95.285714285714292</c:v>
                </c:pt>
                <c:pt idx="668">
                  <c:v>95.428571428571431</c:v>
                </c:pt>
                <c:pt idx="669">
                  <c:v>95.571428571428569</c:v>
                </c:pt>
                <c:pt idx="670">
                  <c:v>95.714285714285708</c:v>
                </c:pt>
                <c:pt idx="671">
                  <c:v>95.857142857142861</c:v>
                </c:pt>
                <c:pt idx="672">
                  <c:v>96</c:v>
                </c:pt>
                <c:pt idx="673">
                  <c:v>96.142857142857139</c:v>
                </c:pt>
                <c:pt idx="674">
                  <c:v>96.285714285714292</c:v>
                </c:pt>
                <c:pt idx="675">
                  <c:v>96.428571428571431</c:v>
                </c:pt>
                <c:pt idx="676">
                  <c:v>96.571428571428569</c:v>
                </c:pt>
                <c:pt idx="677">
                  <c:v>96.714285714285708</c:v>
                </c:pt>
                <c:pt idx="678">
                  <c:v>96.857142857142861</c:v>
                </c:pt>
                <c:pt idx="679">
                  <c:v>97</c:v>
                </c:pt>
                <c:pt idx="680">
                  <c:v>97.142857142857139</c:v>
                </c:pt>
                <c:pt idx="681">
                  <c:v>97.285714285714292</c:v>
                </c:pt>
                <c:pt idx="682">
                  <c:v>97.428571428571431</c:v>
                </c:pt>
                <c:pt idx="683">
                  <c:v>97.571428571428569</c:v>
                </c:pt>
                <c:pt idx="684">
                  <c:v>97.714285714285708</c:v>
                </c:pt>
                <c:pt idx="685">
                  <c:v>97.857142857142861</c:v>
                </c:pt>
                <c:pt idx="686">
                  <c:v>98</c:v>
                </c:pt>
                <c:pt idx="687">
                  <c:v>98.142857142857139</c:v>
                </c:pt>
                <c:pt idx="688">
                  <c:v>98.285714285714292</c:v>
                </c:pt>
                <c:pt idx="689">
                  <c:v>98.428571428571431</c:v>
                </c:pt>
                <c:pt idx="690">
                  <c:v>98.571428571428569</c:v>
                </c:pt>
                <c:pt idx="691">
                  <c:v>98.714285714285708</c:v>
                </c:pt>
                <c:pt idx="692">
                  <c:v>98.857142857142861</c:v>
                </c:pt>
                <c:pt idx="693">
                  <c:v>99</c:v>
                </c:pt>
                <c:pt idx="694">
                  <c:v>99.142857142857139</c:v>
                </c:pt>
                <c:pt idx="695">
                  <c:v>99.285714285714292</c:v>
                </c:pt>
                <c:pt idx="696">
                  <c:v>99.428571428571431</c:v>
                </c:pt>
                <c:pt idx="697">
                  <c:v>99.571428571428569</c:v>
                </c:pt>
                <c:pt idx="698">
                  <c:v>99.714285714285708</c:v>
                </c:pt>
                <c:pt idx="699">
                  <c:v>99.857142857142861</c:v>
                </c:pt>
                <c:pt idx="700">
                  <c:v>100</c:v>
                </c:pt>
                <c:pt idx="701">
                  <c:v>100.14285714285714</c:v>
                </c:pt>
                <c:pt idx="702">
                  <c:v>100.28571428571429</c:v>
                </c:pt>
                <c:pt idx="703">
                  <c:v>100.42857142857143</c:v>
                </c:pt>
                <c:pt idx="704">
                  <c:v>100.57142857142857</c:v>
                </c:pt>
                <c:pt idx="705">
                  <c:v>100.71428571428571</c:v>
                </c:pt>
                <c:pt idx="706">
                  <c:v>100.85714285714286</c:v>
                </c:pt>
                <c:pt idx="707">
                  <c:v>101</c:v>
                </c:pt>
                <c:pt idx="708">
                  <c:v>101.14285714285714</c:v>
                </c:pt>
                <c:pt idx="709">
                  <c:v>101.28571428571429</c:v>
                </c:pt>
                <c:pt idx="710">
                  <c:v>101.42857142857143</c:v>
                </c:pt>
                <c:pt idx="711">
                  <c:v>101.57142857142857</c:v>
                </c:pt>
                <c:pt idx="712">
                  <c:v>101.71428571428571</c:v>
                </c:pt>
                <c:pt idx="713">
                  <c:v>101.85714285714286</c:v>
                </c:pt>
                <c:pt idx="714">
                  <c:v>102</c:v>
                </c:pt>
                <c:pt idx="715">
                  <c:v>102.14285714285714</c:v>
                </c:pt>
                <c:pt idx="716">
                  <c:v>102.28571428571429</c:v>
                </c:pt>
                <c:pt idx="717">
                  <c:v>102.42857142857143</c:v>
                </c:pt>
                <c:pt idx="718">
                  <c:v>102.57142857142857</c:v>
                </c:pt>
                <c:pt idx="719">
                  <c:v>102.71428571428571</c:v>
                </c:pt>
                <c:pt idx="720">
                  <c:v>102.85714285714286</c:v>
                </c:pt>
                <c:pt idx="721">
                  <c:v>103</c:v>
                </c:pt>
                <c:pt idx="722">
                  <c:v>103.14285714285714</c:v>
                </c:pt>
                <c:pt idx="723">
                  <c:v>103.28571428571429</c:v>
                </c:pt>
                <c:pt idx="724">
                  <c:v>103.42857142857143</c:v>
                </c:pt>
                <c:pt idx="725">
                  <c:v>103.57142857142857</c:v>
                </c:pt>
                <c:pt idx="726">
                  <c:v>103.71428571428571</c:v>
                </c:pt>
                <c:pt idx="727">
                  <c:v>103.85714285714286</c:v>
                </c:pt>
                <c:pt idx="728">
                  <c:v>104</c:v>
                </c:pt>
                <c:pt idx="729">
                  <c:v>104.14285714285714</c:v>
                </c:pt>
                <c:pt idx="730">
                  <c:v>104.28571428571429</c:v>
                </c:pt>
                <c:pt idx="731">
                  <c:v>104.42857142857143</c:v>
                </c:pt>
                <c:pt idx="732">
                  <c:v>104.57142857142857</c:v>
                </c:pt>
                <c:pt idx="733">
                  <c:v>104.71428571428571</c:v>
                </c:pt>
                <c:pt idx="734">
                  <c:v>104.85714285714286</c:v>
                </c:pt>
                <c:pt idx="735">
                  <c:v>105</c:v>
                </c:pt>
                <c:pt idx="736">
                  <c:v>105.14285714285714</c:v>
                </c:pt>
                <c:pt idx="737">
                  <c:v>105.28571428571429</c:v>
                </c:pt>
                <c:pt idx="738">
                  <c:v>105.42857142857143</c:v>
                </c:pt>
                <c:pt idx="739">
                  <c:v>105.57142857142857</c:v>
                </c:pt>
                <c:pt idx="740">
                  <c:v>105.71428571428571</c:v>
                </c:pt>
                <c:pt idx="741">
                  <c:v>105.85714285714286</c:v>
                </c:pt>
                <c:pt idx="742">
                  <c:v>106</c:v>
                </c:pt>
                <c:pt idx="743">
                  <c:v>106.14285714285714</c:v>
                </c:pt>
                <c:pt idx="744">
                  <c:v>106.28571428571429</c:v>
                </c:pt>
                <c:pt idx="745">
                  <c:v>106.42857142857143</c:v>
                </c:pt>
                <c:pt idx="746">
                  <c:v>106.57142857142857</c:v>
                </c:pt>
                <c:pt idx="747">
                  <c:v>106.71428571428571</c:v>
                </c:pt>
                <c:pt idx="748">
                  <c:v>106.85714285714286</c:v>
                </c:pt>
                <c:pt idx="749">
                  <c:v>107</c:v>
                </c:pt>
                <c:pt idx="750">
                  <c:v>107.14285714285714</c:v>
                </c:pt>
                <c:pt idx="751">
                  <c:v>107.28571428571429</c:v>
                </c:pt>
                <c:pt idx="752">
                  <c:v>107.42857142857143</c:v>
                </c:pt>
                <c:pt idx="753">
                  <c:v>107.57142857142857</c:v>
                </c:pt>
                <c:pt idx="754">
                  <c:v>107.71428571428571</c:v>
                </c:pt>
                <c:pt idx="755">
                  <c:v>107.85714285714286</c:v>
                </c:pt>
                <c:pt idx="756">
                  <c:v>108</c:v>
                </c:pt>
                <c:pt idx="757">
                  <c:v>108.14285714285714</c:v>
                </c:pt>
                <c:pt idx="758">
                  <c:v>108.28571428571429</c:v>
                </c:pt>
                <c:pt idx="759">
                  <c:v>108.42857142857143</c:v>
                </c:pt>
                <c:pt idx="760">
                  <c:v>108.57142857142857</c:v>
                </c:pt>
                <c:pt idx="761">
                  <c:v>108.71428571428571</c:v>
                </c:pt>
                <c:pt idx="762">
                  <c:v>108.85714285714286</c:v>
                </c:pt>
                <c:pt idx="763">
                  <c:v>109</c:v>
                </c:pt>
                <c:pt idx="764">
                  <c:v>109.14285714285714</c:v>
                </c:pt>
                <c:pt idx="765">
                  <c:v>109.28571428571429</c:v>
                </c:pt>
                <c:pt idx="766">
                  <c:v>109.42857142857143</c:v>
                </c:pt>
                <c:pt idx="767">
                  <c:v>109.57142857142857</c:v>
                </c:pt>
                <c:pt idx="768">
                  <c:v>109.71428571428571</c:v>
                </c:pt>
                <c:pt idx="769">
                  <c:v>109.85714285714286</c:v>
                </c:pt>
                <c:pt idx="770">
                  <c:v>110</c:v>
                </c:pt>
                <c:pt idx="771">
                  <c:v>110.14285714285714</c:v>
                </c:pt>
                <c:pt idx="772">
                  <c:v>110.28571428571429</c:v>
                </c:pt>
                <c:pt idx="773">
                  <c:v>110.42857142857143</c:v>
                </c:pt>
                <c:pt idx="774">
                  <c:v>110.57142857142857</c:v>
                </c:pt>
                <c:pt idx="775">
                  <c:v>110.71428571428571</c:v>
                </c:pt>
                <c:pt idx="776">
                  <c:v>110.85714285714286</c:v>
                </c:pt>
                <c:pt idx="777">
                  <c:v>111</c:v>
                </c:pt>
                <c:pt idx="778">
                  <c:v>111.14285714285714</c:v>
                </c:pt>
                <c:pt idx="779">
                  <c:v>111.28571428571429</c:v>
                </c:pt>
                <c:pt idx="780">
                  <c:v>111.42857142857143</c:v>
                </c:pt>
                <c:pt idx="781">
                  <c:v>111.57142857142857</c:v>
                </c:pt>
                <c:pt idx="782">
                  <c:v>111.71428571428571</c:v>
                </c:pt>
                <c:pt idx="783">
                  <c:v>111.85714285714286</c:v>
                </c:pt>
                <c:pt idx="784">
                  <c:v>112</c:v>
                </c:pt>
                <c:pt idx="785">
                  <c:v>112.14285714285714</c:v>
                </c:pt>
                <c:pt idx="786">
                  <c:v>112.28571428571429</c:v>
                </c:pt>
                <c:pt idx="787">
                  <c:v>112.42857142857143</c:v>
                </c:pt>
                <c:pt idx="788">
                  <c:v>112.57142857142857</c:v>
                </c:pt>
                <c:pt idx="789">
                  <c:v>112.71428571428571</c:v>
                </c:pt>
                <c:pt idx="790">
                  <c:v>112.85714285714286</c:v>
                </c:pt>
                <c:pt idx="791">
                  <c:v>113</c:v>
                </c:pt>
                <c:pt idx="792">
                  <c:v>113.14285714285714</c:v>
                </c:pt>
                <c:pt idx="793">
                  <c:v>113.28571428571429</c:v>
                </c:pt>
                <c:pt idx="794">
                  <c:v>113.42857142857143</c:v>
                </c:pt>
                <c:pt idx="795">
                  <c:v>113.57142857142857</c:v>
                </c:pt>
                <c:pt idx="796">
                  <c:v>113.71428571428571</c:v>
                </c:pt>
                <c:pt idx="797">
                  <c:v>113.85714285714286</c:v>
                </c:pt>
                <c:pt idx="798">
                  <c:v>114</c:v>
                </c:pt>
                <c:pt idx="799">
                  <c:v>114.14285714285714</c:v>
                </c:pt>
                <c:pt idx="800">
                  <c:v>114.28571428571429</c:v>
                </c:pt>
                <c:pt idx="801">
                  <c:v>114.42857142857143</c:v>
                </c:pt>
                <c:pt idx="802">
                  <c:v>114.57142857142857</c:v>
                </c:pt>
                <c:pt idx="803">
                  <c:v>114.71428571428571</c:v>
                </c:pt>
                <c:pt idx="804">
                  <c:v>114.85714285714286</c:v>
                </c:pt>
                <c:pt idx="805">
                  <c:v>115</c:v>
                </c:pt>
                <c:pt idx="806">
                  <c:v>115.14285714285714</c:v>
                </c:pt>
                <c:pt idx="807">
                  <c:v>115.28571428571429</c:v>
                </c:pt>
                <c:pt idx="808">
                  <c:v>115.42857142857143</c:v>
                </c:pt>
                <c:pt idx="809">
                  <c:v>115.57142857142857</c:v>
                </c:pt>
                <c:pt idx="810">
                  <c:v>115.71428571428571</c:v>
                </c:pt>
                <c:pt idx="811">
                  <c:v>115.85714285714286</c:v>
                </c:pt>
                <c:pt idx="812">
                  <c:v>116</c:v>
                </c:pt>
                <c:pt idx="813">
                  <c:v>116.14285714285714</c:v>
                </c:pt>
                <c:pt idx="814">
                  <c:v>116.28571428571429</c:v>
                </c:pt>
                <c:pt idx="815">
                  <c:v>116.42857142857143</c:v>
                </c:pt>
                <c:pt idx="816">
                  <c:v>116.57142857142857</c:v>
                </c:pt>
                <c:pt idx="817">
                  <c:v>116.71428571428571</c:v>
                </c:pt>
                <c:pt idx="818">
                  <c:v>116.85714285714286</c:v>
                </c:pt>
                <c:pt idx="819">
                  <c:v>117</c:v>
                </c:pt>
                <c:pt idx="820">
                  <c:v>117.14285714285714</c:v>
                </c:pt>
                <c:pt idx="821">
                  <c:v>117.28571428571429</c:v>
                </c:pt>
                <c:pt idx="822">
                  <c:v>117.42857142857143</c:v>
                </c:pt>
                <c:pt idx="823">
                  <c:v>117.57142857142857</c:v>
                </c:pt>
                <c:pt idx="824">
                  <c:v>117.71428571428571</c:v>
                </c:pt>
                <c:pt idx="825">
                  <c:v>117.85714285714286</c:v>
                </c:pt>
                <c:pt idx="826">
                  <c:v>118</c:v>
                </c:pt>
                <c:pt idx="827">
                  <c:v>118.14285714285714</c:v>
                </c:pt>
                <c:pt idx="828">
                  <c:v>118.28571428571429</c:v>
                </c:pt>
                <c:pt idx="829">
                  <c:v>118.42857142857143</c:v>
                </c:pt>
                <c:pt idx="830">
                  <c:v>118.57142857142857</c:v>
                </c:pt>
                <c:pt idx="831">
                  <c:v>118.71428571428571</c:v>
                </c:pt>
                <c:pt idx="832">
                  <c:v>118.85714285714286</c:v>
                </c:pt>
                <c:pt idx="833">
                  <c:v>119</c:v>
                </c:pt>
                <c:pt idx="834">
                  <c:v>119.14285714285714</c:v>
                </c:pt>
                <c:pt idx="835">
                  <c:v>119.28571428571429</c:v>
                </c:pt>
                <c:pt idx="836">
                  <c:v>119.42857142857143</c:v>
                </c:pt>
                <c:pt idx="837">
                  <c:v>119.57142857142857</c:v>
                </c:pt>
                <c:pt idx="838">
                  <c:v>119.71428571428571</c:v>
                </c:pt>
                <c:pt idx="839">
                  <c:v>119.85714285714286</c:v>
                </c:pt>
                <c:pt idx="840">
                  <c:v>120</c:v>
                </c:pt>
                <c:pt idx="841">
                  <c:v>120.14285714285714</c:v>
                </c:pt>
                <c:pt idx="842">
                  <c:v>120.28571428571429</c:v>
                </c:pt>
                <c:pt idx="843">
                  <c:v>120.42857142857143</c:v>
                </c:pt>
                <c:pt idx="844">
                  <c:v>120.57142857142857</c:v>
                </c:pt>
                <c:pt idx="845">
                  <c:v>120.71428571428571</c:v>
                </c:pt>
                <c:pt idx="846">
                  <c:v>120.85714285714286</c:v>
                </c:pt>
                <c:pt idx="847">
                  <c:v>121</c:v>
                </c:pt>
                <c:pt idx="848">
                  <c:v>121.14285714285714</c:v>
                </c:pt>
                <c:pt idx="849">
                  <c:v>121.28571428571429</c:v>
                </c:pt>
                <c:pt idx="850">
                  <c:v>121.42857142857143</c:v>
                </c:pt>
                <c:pt idx="851">
                  <c:v>121.57142857142857</c:v>
                </c:pt>
                <c:pt idx="852">
                  <c:v>121.71428571428571</c:v>
                </c:pt>
                <c:pt idx="853">
                  <c:v>121.85714285714286</c:v>
                </c:pt>
                <c:pt idx="854">
                  <c:v>122</c:v>
                </c:pt>
                <c:pt idx="855">
                  <c:v>122.14285714285714</c:v>
                </c:pt>
                <c:pt idx="856">
                  <c:v>122.28571428571429</c:v>
                </c:pt>
                <c:pt idx="857">
                  <c:v>122.42857142857143</c:v>
                </c:pt>
                <c:pt idx="858">
                  <c:v>122.57142857142857</c:v>
                </c:pt>
                <c:pt idx="859">
                  <c:v>122.71428571428571</c:v>
                </c:pt>
                <c:pt idx="860">
                  <c:v>122.85714285714286</c:v>
                </c:pt>
                <c:pt idx="861">
                  <c:v>123</c:v>
                </c:pt>
                <c:pt idx="862">
                  <c:v>123.14285714285714</c:v>
                </c:pt>
                <c:pt idx="863">
                  <c:v>123.28571428571429</c:v>
                </c:pt>
                <c:pt idx="864">
                  <c:v>123.42857142857143</c:v>
                </c:pt>
                <c:pt idx="865">
                  <c:v>123.57142857142857</c:v>
                </c:pt>
                <c:pt idx="866">
                  <c:v>123.71428571428571</c:v>
                </c:pt>
                <c:pt idx="867">
                  <c:v>123.85714285714286</c:v>
                </c:pt>
                <c:pt idx="868">
                  <c:v>124</c:v>
                </c:pt>
                <c:pt idx="869">
                  <c:v>124.14285714285714</c:v>
                </c:pt>
                <c:pt idx="870">
                  <c:v>124.28571428571429</c:v>
                </c:pt>
                <c:pt idx="871">
                  <c:v>124.42857142857143</c:v>
                </c:pt>
                <c:pt idx="872">
                  <c:v>124.57142857142857</c:v>
                </c:pt>
                <c:pt idx="873">
                  <c:v>124.71428571428571</c:v>
                </c:pt>
                <c:pt idx="874">
                  <c:v>124.85714285714286</c:v>
                </c:pt>
                <c:pt idx="875">
                  <c:v>125</c:v>
                </c:pt>
                <c:pt idx="876">
                  <c:v>125.14285714285714</c:v>
                </c:pt>
                <c:pt idx="877">
                  <c:v>125.28571428571429</c:v>
                </c:pt>
                <c:pt idx="878">
                  <c:v>125.42857142857143</c:v>
                </c:pt>
                <c:pt idx="879">
                  <c:v>125.57142857142857</c:v>
                </c:pt>
                <c:pt idx="880">
                  <c:v>125.71428571428571</c:v>
                </c:pt>
                <c:pt idx="881">
                  <c:v>125.85714285714286</c:v>
                </c:pt>
                <c:pt idx="882">
                  <c:v>126</c:v>
                </c:pt>
                <c:pt idx="883">
                  <c:v>126.14285714285714</c:v>
                </c:pt>
                <c:pt idx="884">
                  <c:v>126.28571428571429</c:v>
                </c:pt>
                <c:pt idx="885">
                  <c:v>126.42857142857143</c:v>
                </c:pt>
                <c:pt idx="886">
                  <c:v>126.57142857142857</c:v>
                </c:pt>
                <c:pt idx="887">
                  <c:v>126.71428571428571</c:v>
                </c:pt>
                <c:pt idx="888">
                  <c:v>126.85714285714286</c:v>
                </c:pt>
                <c:pt idx="889">
                  <c:v>127</c:v>
                </c:pt>
                <c:pt idx="890">
                  <c:v>127.14285714285714</c:v>
                </c:pt>
                <c:pt idx="891">
                  <c:v>127.28571428571429</c:v>
                </c:pt>
                <c:pt idx="892">
                  <c:v>127.42857142857143</c:v>
                </c:pt>
                <c:pt idx="893">
                  <c:v>127.57142857142857</c:v>
                </c:pt>
                <c:pt idx="894">
                  <c:v>127.71428571428571</c:v>
                </c:pt>
                <c:pt idx="895">
                  <c:v>127.85714285714286</c:v>
                </c:pt>
                <c:pt idx="896">
                  <c:v>128</c:v>
                </c:pt>
                <c:pt idx="897">
                  <c:v>128.14285714285714</c:v>
                </c:pt>
                <c:pt idx="898">
                  <c:v>128.28571428571428</c:v>
                </c:pt>
                <c:pt idx="899">
                  <c:v>128.42857142857142</c:v>
                </c:pt>
                <c:pt idx="900">
                  <c:v>128.57142857142858</c:v>
                </c:pt>
                <c:pt idx="901">
                  <c:v>128.71428571428572</c:v>
                </c:pt>
                <c:pt idx="902">
                  <c:v>128.85714285714286</c:v>
                </c:pt>
                <c:pt idx="903">
                  <c:v>129</c:v>
                </c:pt>
                <c:pt idx="904">
                  <c:v>129.14285714285714</c:v>
                </c:pt>
                <c:pt idx="905">
                  <c:v>129.28571428571428</c:v>
                </c:pt>
                <c:pt idx="906">
                  <c:v>129.42857142857142</c:v>
                </c:pt>
                <c:pt idx="907">
                  <c:v>129.57142857142858</c:v>
                </c:pt>
                <c:pt idx="908">
                  <c:v>129.71428571428572</c:v>
                </c:pt>
                <c:pt idx="909">
                  <c:v>129.85714285714286</c:v>
                </c:pt>
                <c:pt idx="910">
                  <c:v>130</c:v>
                </c:pt>
                <c:pt idx="911">
                  <c:v>130.14285714285714</c:v>
                </c:pt>
                <c:pt idx="912">
                  <c:v>130.28571428571428</c:v>
                </c:pt>
                <c:pt idx="913">
                  <c:v>130.42857142857142</c:v>
                </c:pt>
                <c:pt idx="914">
                  <c:v>130.57142857142858</c:v>
                </c:pt>
                <c:pt idx="915">
                  <c:v>130.71428571428572</c:v>
                </c:pt>
                <c:pt idx="916">
                  <c:v>130.85714285714286</c:v>
                </c:pt>
                <c:pt idx="917">
                  <c:v>131</c:v>
                </c:pt>
                <c:pt idx="918">
                  <c:v>131.14285714285714</c:v>
                </c:pt>
                <c:pt idx="919">
                  <c:v>131.28571428571428</c:v>
                </c:pt>
                <c:pt idx="920">
                  <c:v>131.42857142857142</c:v>
                </c:pt>
                <c:pt idx="921">
                  <c:v>131.57142857142858</c:v>
                </c:pt>
                <c:pt idx="922">
                  <c:v>131.71428571428572</c:v>
                </c:pt>
                <c:pt idx="923">
                  <c:v>131.85714285714286</c:v>
                </c:pt>
                <c:pt idx="924">
                  <c:v>132</c:v>
                </c:pt>
                <c:pt idx="925">
                  <c:v>132.14285714285714</c:v>
                </c:pt>
                <c:pt idx="926">
                  <c:v>132.28571428571428</c:v>
                </c:pt>
                <c:pt idx="927">
                  <c:v>132.42857142857142</c:v>
                </c:pt>
                <c:pt idx="928">
                  <c:v>132.57142857142858</c:v>
                </c:pt>
                <c:pt idx="929">
                  <c:v>132.71428571428572</c:v>
                </c:pt>
                <c:pt idx="930">
                  <c:v>132.85714285714286</c:v>
                </c:pt>
                <c:pt idx="931">
                  <c:v>133</c:v>
                </c:pt>
                <c:pt idx="932">
                  <c:v>133.14285714285714</c:v>
                </c:pt>
                <c:pt idx="933">
                  <c:v>133.28571428571428</c:v>
                </c:pt>
                <c:pt idx="934">
                  <c:v>133.42857142857142</c:v>
                </c:pt>
                <c:pt idx="935">
                  <c:v>133.57142857142858</c:v>
                </c:pt>
                <c:pt idx="936">
                  <c:v>133.71428571428572</c:v>
                </c:pt>
                <c:pt idx="937">
                  <c:v>133.85714285714286</c:v>
                </c:pt>
                <c:pt idx="938">
                  <c:v>134</c:v>
                </c:pt>
                <c:pt idx="939">
                  <c:v>134.14285714285714</c:v>
                </c:pt>
                <c:pt idx="940">
                  <c:v>134.28571428571428</c:v>
                </c:pt>
                <c:pt idx="941">
                  <c:v>134.42857142857142</c:v>
                </c:pt>
                <c:pt idx="942">
                  <c:v>134.57142857142858</c:v>
                </c:pt>
                <c:pt idx="943">
                  <c:v>134.71428571428572</c:v>
                </c:pt>
                <c:pt idx="944">
                  <c:v>134.85714285714286</c:v>
                </c:pt>
                <c:pt idx="945">
                  <c:v>135</c:v>
                </c:pt>
                <c:pt idx="946">
                  <c:v>135.14285714285714</c:v>
                </c:pt>
                <c:pt idx="947">
                  <c:v>135.28571428571428</c:v>
                </c:pt>
                <c:pt idx="948">
                  <c:v>135.42857142857142</c:v>
                </c:pt>
                <c:pt idx="949">
                  <c:v>135.57142857142858</c:v>
                </c:pt>
                <c:pt idx="950">
                  <c:v>135.71428571428572</c:v>
                </c:pt>
                <c:pt idx="951">
                  <c:v>135.85714285714286</c:v>
                </c:pt>
                <c:pt idx="952">
                  <c:v>136</c:v>
                </c:pt>
                <c:pt idx="953">
                  <c:v>136.14285714285714</c:v>
                </c:pt>
                <c:pt idx="954">
                  <c:v>136.28571428571428</c:v>
                </c:pt>
                <c:pt idx="955">
                  <c:v>136.42857142857142</c:v>
                </c:pt>
                <c:pt idx="956">
                  <c:v>136.57142857142858</c:v>
                </c:pt>
                <c:pt idx="957">
                  <c:v>136.71428571428572</c:v>
                </c:pt>
                <c:pt idx="958">
                  <c:v>136.85714285714286</c:v>
                </c:pt>
                <c:pt idx="959">
                  <c:v>137</c:v>
                </c:pt>
                <c:pt idx="960">
                  <c:v>137.14285714285714</c:v>
                </c:pt>
                <c:pt idx="961">
                  <c:v>137.28571428571428</c:v>
                </c:pt>
                <c:pt idx="962">
                  <c:v>137.42857142857142</c:v>
                </c:pt>
                <c:pt idx="963">
                  <c:v>137.57142857142858</c:v>
                </c:pt>
                <c:pt idx="964">
                  <c:v>137.71428571428572</c:v>
                </c:pt>
                <c:pt idx="965">
                  <c:v>137.85714285714286</c:v>
                </c:pt>
                <c:pt idx="966">
                  <c:v>138</c:v>
                </c:pt>
                <c:pt idx="967">
                  <c:v>138.14285714285714</c:v>
                </c:pt>
                <c:pt idx="968">
                  <c:v>138.28571428571428</c:v>
                </c:pt>
                <c:pt idx="969">
                  <c:v>138.42857142857142</c:v>
                </c:pt>
                <c:pt idx="970">
                  <c:v>138.57142857142858</c:v>
                </c:pt>
                <c:pt idx="971">
                  <c:v>138.71428571428572</c:v>
                </c:pt>
                <c:pt idx="972">
                  <c:v>138.85714285714286</c:v>
                </c:pt>
                <c:pt idx="973">
                  <c:v>139</c:v>
                </c:pt>
                <c:pt idx="974">
                  <c:v>139.14285714285714</c:v>
                </c:pt>
                <c:pt idx="975">
                  <c:v>139.28571428571428</c:v>
                </c:pt>
                <c:pt idx="976">
                  <c:v>139.42857142857142</c:v>
                </c:pt>
                <c:pt idx="977">
                  <c:v>139.57142857142858</c:v>
                </c:pt>
                <c:pt idx="978">
                  <c:v>139.71428571428572</c:v>
                </c:pt>
                <c:pt idx="979">
                  <c:v>139.85714285714286</c:v>
                </c:pt>
                <c:pt idx="980">
                  <c:v>140</c:v>
                </c:pt>
                <c:pt idx="981">
                  <c:v>140.14285714285714</c:v>
                </c:pt>
                <c:pt idx="982">
                  <c:v>140.28571428571428</c:v>
                </c:pt>
                <c:pt idx="983">
                  <c:v>140.42857142857142</c:v>
                </c:pt>
                <c:pt idx="984">
                  <c:v>140.57142857142858</c:v>
                </c:pt>
                <c:pt idx="985">
                  <c:v>140.71428571428572</c:v>
                </c:pt>
                <c:pt idx="986">
                  <c:v>140.85714285714286</c:v>
                </c:pt>
                <c:pt idx="987">
                  <c:v>141</c:v>
                </c:pt>
                <c:pt idx="988">
                  <c:v>141.14285714285714</c:v>
                </c:pt>
                <c:pt idx="989">
                  <c:v>141.28571428571428</c:v>
                </c:pt>
                <c:pt idx="990">
                  <c:v>141.42857142857142</c:v>
                </c:pt>
                <c:pt idx="991">
                  <c:v>141.57142857142858</c:v>
                </c:pt>
                <c:pt idx="992">
                  <c:v>141.71428571428572</c:v>
                </c:pt>
                <c:pt idx="993">
                  <c:v>141.85714285714286</c:v>
                </c:pt>
                <c:pt idx="994">
                  <c:v>142</c:v>
                </c:pt>
                <c:pt idx="995">
                  <c:v>142.14285714285714</c:v>
                </c:pt>
                <c:pt idx="996">
                  <c:v>142.28571428571428</c:v>
                </c:pt>
                <c:pt idx="997">
                  <c:v>142.42857142857142</c:v>
                </c:pt>
                <c:pt idx="998">
                  <c:v>142.57142857142858</c:v>
                </c:pt>
                <c:pt idx="999">
                  <c:v>142.71428571428572</c:v>
                </c:pt>
                <c:pt idx="1000">
                  <c:v>142.85714285714286</c:v>
                </c:pt>
                <c:pt idx="1001">
                  <c:v>143</c:v>
                </c:pt>
                <c:pt idx="1002">
                  <c:v>143.14285714285714</c:v>
                </c:pt>
                <c:pt idx="1003">
                  <c:v>143.28571428571428</c:v>
                </c:pt>
                <c:pt idx="1004">
                  <c:v>143.42857142857142</c:v>
                </c:pt>
                <c:pt idx="1005">
                  <c:v>143.57142857142858</c:v>
                </c:pt>
                <c:pt idx="1006">
                  <c:v>143.71428571428572</c:v>
                </c:pt>
                <c:pt idx="1007">
                  <c:v>143.85714285714286</c:v>
                </c:pt>
                <c:pt idx="1008">
                  <c:v>144</c:v>
                </c:pt>
                <c:pt idx="1009">
                  <c:v>144.14285714285714</c:v>
                </c:pt>
                <c:pt idx="1010">
                  <c:v>144.28571428571428</c:v>
                </c:pt>
                <c:pt idx="1011">
                  <c:v>144.42857142857142</c:v>
                </c:pt>
                <c:pt idx="1012">
                  <c:v>144.57142857142858</c:v>
                </c:pt>
                <c:pt idx="1013">
                  <c:v>144.71428571428572</c:v>
                </c:pt>
                <c:pt idx="1014">
                  <c:v>144.85714285714286</c:v>
                </c:pt>
                <c:pt idx="1015">
                  <c:v>145</c:v>
                </c:pt>
                <c:pt idx="1016">
                  <c:v>145.14285714285714</c:v>
                </c:pt>
                <c:pt idx="1017">
                  <c:v>145.28571428571428</c:v>
                </c:pt>
                <c:pt idx="1018">
                  <c:v>145.42857142857142</c:v>
                </c:pt>
                <c:pt idx="1019">
                  <c:v>145.57142857142858</c:v>
                </c:pt>
                <c:pt idx="1020">
                  <c:v>145.71428571428572</c:v>
                </c:pt>
                <c:pt idx="1021">
                  <c:v>145.85714285714286</c:v>
                </c:pt>
                <c:pt idx="1022">
                  <c:v>146</c:v>
                </c:pt>
                <c:pt idx="1023">
                  <c:v>146.14285714285714</c:v>
                </c:pt>
                <c:pt idx="1024">
                  <c:v>146.28571428571428</c:v>
                </c:pt>
                <c:pt idx="1025">
                  <c:v>146.42857142857142</c:v>
                </c:pt>
                <c:pt idx="1026">
                  <c:v>146.57142857142858</c:v>
                </c:pt>
                <c:pt idx="1027">
                  <c:v>146.71428571428572</c:v>
                </c:pt>
                <c:pt idx="1028">
                  <c:v>146.85714285714286</c:v>
                </c:pt>
                <c:pt idx="1029">
                  <c:v>147</c:v>
                </c:pt>
                <c:pt idx="1030">
                  <c:v>147.14285714285714</c:v>
                </c:pt>
                <c:pt idx="1031">
                  <c:v>147.28571428571428</c:v>
                </c:pt>
                <c:pt idx="1032">
                  <c:v>147.42857142857142</c:v>
                </c:pt>
                <c:pt idx="1033">
                  <c:v>147.57142857142858</c:v>
                </c:pt>
                <c:pt idx="1034">
                  <c:v>147.71428571428572</c:v>
                </c:pt>
                <c:pt idx="1035">
                  <c:v>147.85714285714286</c:v>
                </c:pt>
                <c:pt idx="1036">
                  <c:v>148</c:v>
                </c:pt>
                <c:pt idx="1037">
                  <c:v>148.14285714285714</c:v>
                </c:pt>
                <c:pt idx="1038">
                  <c:v>148.28571428571428</c:v>
                </c:pt>
                <c:pt idx="1039">
                  <c:v>148.42857142857142</c:v>
                </c:pt>
                <c:pt idx="1040">
                  <c:v>148.57142857142858</c:v>
                </c:pt>
                <c:pt idx="1041">
                  <c:v>148.71428571428572</c:v>
                </c:pt>
                <c:pt idx="1042">
                  <c:v>148.85714285714286</c:v>
                </c:pt>
                <c:pt idx="1043">
                  <c:v>149</c:v>
                </c:pt>
                <c:pt idx="1044">
                  <c:v>149.14285714285714</c:v>
                </c:pt>
                <c:pt idx="1045">
                  <c:v>149.28571428571428</c:v>
                </c:pt>
                <c:pt idx="1046">
                  <c:v>149.42857142857142</c:v>
                </c:pt>
                <c:pt idx="1047">
                  <c:v>149.57142857142858</c:v>
                </c:pt>
                <c:pt idx="1048">
                  <c:v>149.71428571428572</c:v>
                </c:pt>
                <c:pt idx="1049">
                  <c:v>149.85714285714286</c:v>
                </c:pt>
                <c:pt idx="1050">
                  <c:v>150</c:v>
                </c:pt>
                <c:pt idx="1051">
                  <c:v>150.14285714285714</c:v>
                </c:pt>
                <c:pt idx="1052">
                  <c:v>150.28571428571428</c:v>
                </c:pt>
                <c:pt idx="1053">
                  <c:v>150.42857142857142</c:v>
                </c:pt>
                <c:pt idx="1054">
                  <c:v>150.57142857142858</c:v>
                </c:pt>
                <c:pt idx="1055">
                  <c:v>150.71428571428572</c:v>
                </c:pt>
                <c:pt idx="1056">
                  <c:v>150.85714285714286</c:v>
                </c:pt>
                <c:pt idx="1057">
                  <c:v>151</c:v>
                </c:pt>
                <c:pt idx="1058">
                  <c:v>151.14285714285714</c:v>
                </c:pt>
                <c:pt idx="1059">
                  <c:v>151.28571428571428</c:v>
                </c:pt>
                <c:pt idx="1060">
                  <c:v>151.42857142857142</c:v>
                </c:pt>
                <c:pt idx="1061">
                  <c:v>151.57142857142858</c:v>
                </c:pt>
                <c:pt idx="1062">
                  <c:v>151.71428571428572</c:v>
                </c:pt>
                <c:pt idx="1063">
                  <c:v>151.85714285714286</c:v>
                </c:pt>
                <c:pt idx="1064">
                  <c:v>152</c:v>
                </c:pt>
                <c:pt idx="1065">
                  <c:v>152.14285714285714</c:v>
                </c:pt>
                <c:pt idx="1066">
                  <c:v>152.28571428571428</c:v>
                </c:pt>
                <c:pt idx="1067">
                  <c:v>152.42857142857142</c:v>
                </c:pt>
                <c:pt idx="1068">
                  <c:v>152.57142857142858</c:v>
                </c:pt>
                <c:pt idx="1069">
                  <c:v>152.71428571428572</c:v>
                </c:pt>
                <c:pt idx="1070">
                  <c:v>152.85714285714286</c:v>
                </c:pt>
                <c:pt idx="1071">
                  <c:v>153</c:v>
                </c:pt>
                <c:pt idx="1072">
                  <c:v>153.14285714285714</c:v>
                </c:pt>
                <c:pt idx="1073">
                  <c:v>153.28571428571428</c:v>
                </c:pt>
                <c:pt idx="1074">
                  <c:v>153.42857142857142</c:v>
                </c:pt>
                <c:pt idx="1075">
                  <c:v>153.57142857142858</c:v>
                </c:pt>
                <c:pt idx="1076">
                  <c:v>153.71428571428572</c:v>
                </c:pt>
                <c:pt idx="1077">
                  <c:v>153.85714285714286</c:v>
                </c:pt>
                <c:pt idx="1078">
                  <c:v>154</c:v>
                </c:pt>
                <c:pt idx="1079">
                  <c:v>154.14285714285714</c:v>
                </c:pt>
                <c:pt idx="1080">
                  <c:v>154.28571428571428</c:v>
                </c:pt>
                <c:pt idx="1081">
                  <c:v>154.42857142857142</c:v>
                </c:pt>
                <c:pt idx="1082">
                  <c:v>154.57142857142858</c:v>
                </c:pt>
                <c:pt idx="1083">
                  <c:v>154.71428571428572</c:v>
                </c:pt>
                <c:pt idx="1084">
                  <c:v>154.85714285714286</c:v>
                </c:pt>
                <c:pt idx="1085">
                  <c:v>155</c:v>
                </c:pt>
                <c:pt idx="1086">
                  <c:v>155.14285714285714</c:v>
                </c:pt>
                <c:pt idx="1087">
                  <c:v>155.28571428571428</c:v>
                </c:pt>
                <c:pt idx="1088">
                  <c:v>155.42857142857142</c:v>
                </c:pt>
                <c:pt idx="1089">
                  <c:v>155.57142857142858</c:v>
                </c:pt>
                <c:pt idx="1090">
                  <c:v>155.71428571428572</c:v>
                </c:pt>
                <c:pt idx="1091">
                  <c:v>155.85714285714286</c:v>
                </c:pt>
                <c:pt idx="1092">
                  <c:v>156</c:v>
                </c:pt>
                <c:pt idx="1093">
                  <c:v>156.14285714285714</c:v>
                </c:pt>
                <c:pt idx="1094">
                  <c:v>156.28571428571428</c:v>
                </c:pt>
                <c:pt idx="1095">
                  <c:v>156.42857142857142</c:v>
                </c:pt>
                <c:pt idx="1096">
                  <c:v>156.57142857142858</c:v>
                </c:pt>
                <c:pt idx="1097">
                  <c:v>156.71428571428572</c:v>
                </c:pt>
                <c:pt idx="1098">
                  <c:v>156.85714285714286</c:v>
                </c:pt>
                <c:pt idx="1099">
                  <c:v>157</c:v>
                </c:pt>
                <c:pt idx="1100">
                  <c:v>157.14285714285714</c:v>
                </c:pt>
                <c:pt idx="1101">
                  <c:v>157.28571428571428</c:v>
                </c:pt>
                <c:pt idx="1102">
                  <c:v>157.42857142857142</c:v>
                </c:pt>
                <c:pt idx="1103">
                  <c:v>157.57142857142858</c:v>
                </c:pt>
                <c:pt idx="1104">
                  <c:v>157.71428571428572</c:v>
                </c:pt>
                <c:pt idx="1105">
                  <c:v>157.85714285714286</c:v>
                </c:pt>
                <c:pt idx="1106">
                  <c:v>158</c:v>
                </c:pt>
                <c:pt idx="1107">
                  <c:v>158.14285714285714</c:v>
                </c:pt>
                <c:pt idx="1108">
                  <c:v>158.28571428571428</c:v>
                </c:pt>
                <c:pt idx="1109">
                  <c:v>158.42857142857142</c:v>
                </c:pt>
                <c:pt idx="1110">
                  <c:v>158.57142857142858</c:v>
                </c:pt>
                <c:pt idx="1111">
                  <c:v>158.71428571428572</c:v>
                </c:pt>
                <c:pt idx="1112">
                  <c:v>158.85714285714286</c:v>
                </c:pt>
                <c:pt idx="1113">
                  <c:v>159</c:v>
                </c:pt>
                <c:pt idx="1114">
                  <c:v>159.14285714285714</c:v>
                </c:pt>
                <c:pt idx="1115">
                  <c:v>159.28571428571428</c:v>
                </c:pt>
                <c:pt idx="1116">
                  <c:v>159.42857142857142</c:v>
                </c:pt>
                <c:pt idx="1117">
                  <c:v>159.57142857142858</c:v>
                </c:pt>
                <c:pt idx="1118">
                  <c:v>159.71428571428572</c:v>
                </c:pt>
                <c:pt idx="1119">
                  <c:v>159.85714285714286</c:v>
                </c:pt>
                <c:pt idx="1120">
                  <c:v>160</c:v>
                </c:pt>
                <c:pt idx="1121">
                  <c:v>160.14285714285714</c:v>
                </c:pt>
                <c:pt idx="1122">
                  <c:v>160.28571428571428</c:v>
                </c:pt>
                <c:pt idx="1123">
                  <c:v>160.42857142857142</c:v>
                </c:pt>
                <c:pt idx="1124">
                  <c:v>160.57142857142858</c:v>
                </c:pt>
                <c:pt idx="1125">
                  <c:v>160.71428571428572</c:v>
                </c:pt>
                <c:pt idx="1126">
                  <c:v>160.85714285714286</c:v>
                </c:pt>
                <c:pt idx="1127">
                  <c:v>161</c:v>
                </c:pt>
                <c:pt idx="1128">
                  <c:v>161.14285714285714</c:v>
                </c:pt>
                <c:pt idx="1129">
                  <c:v>161.28571428571428</c:v>
                </c:pt>
                <c:pt idx="1130">
                  <c:v>161.42857142857142</c:v>
                </c:pt>
                <c:pt idx="1131">
                  <c:v>161.57142857142858</c:v>
                </c:pt>
                <c:pt idx="1132">
                  <c:v>161.71428571428572</c:v>
                </c:pt>
                <c:pt idx="1133">
                  <c:v>161.85714285714286</c:v>
                </c:pt>
                <c:pt idx="1134">
                  <c:v>162</c:v>
                </c:pt>
                <c:pt idx="1135">
                  <c:v>162.14285714285714</c:v>
                </c:pt>
                <c:pt idx="1136">
                  <c:v>162.28571428571428</c:v>
                </c:pt>
                <c:pt idx="1137">
                  <c:v>162.42857142857142</c:v>
                </c:pt>
                <c:pt idx="1138">
                  <c:v>162.57142857142858</c:v>
                </c:pt>
                <c:pt idx="1139">
                  <c:v>162.71428571428572</c:v>
                </c:pt>
                <c:pt idx="1140">
                  <c:v>162.85714285714286</c:v>
                </c:pt>
                <c:pt idx="1141">
                  <c:v>163</c:v>
                </c:pt>
                <c:pt idx="1142">
                  <c:v>163.14285714285714</c:v>
                </c:pt>
                <c:pt idx="1143">
                  <c:v>163.28571428571428</c:v>
                </c:pt>
                <c:pt idx="1144">
                  <c:v>163.42857142857142</c:v>
                </c:pt>
                <c:pt idx="1145">
                  <c:v>163.57142857142858</c:v>
                </c:pt>
                <c:pt idx="1146">
                  <c:v>163.71428571428572</c:v>
                </c:pt>
                <c:pt idx="1147">
                  <c:v>163.85714285714286</c:v>
                </c:pt>
                <c:pt idx="1148">
                  <c:v>164</c:v>
                </c:pt>
                <c:pt idx="1149">
                  <c:v>164.14285714285714</c:v>
                </c:pt>
                <c:pt idx="1150">
                  <c:v>164.28571428571428</c:v>
                </c:pt>
                <c:pt idx="1151">
                  <c:v>164.42857142857142</c:v>
                </c:pt>
                <c:pt idx="1152">
                  <c:v>164.57142857142858</c:v>
                </c:pt>
                <c:pt idx="1153">
                  <c:v>164.71428571428572</c:v>
                </c:pt>
                <c:pt idx="1154">
                  <c:v>164.85714285714286</c:v>
                </c:pt>
                <c:pt idx="1155">
                  <c:v>165</c:v>
                </c:pt>
                <c:pt idx="1156">
                  <c:v>165.14285714285714</c:v>
                </c:pt>
                <c:pt idx="1157">
                  <c:v>165.28571428571428</c:v>
                </c:pt>
                <c:pt idx="1158">
                  <c:v>165.42857142857142</c:v>
                </c:pt>
                <c:pt idx="1159">
                  <c:v>165.57142857142858</c:v>
                </c:pt>
                <c:pt idx="1160">
                  <c:v>165.71428571428572</c:v>
                </c:pt>
                <c:pt idx="1161">
                  <c:v>165.85714285714286</c:v>
                </c:pt>
                <c:pt idx="1162">
                  <c:v>166</c:v>
                </c:pt>
                <c:pt idx="1163">
                  <c:v>166.14285714285714</c:v>
                </c:pt>
                <c:pt idx="1164">
                  <c:v>166.28571428571428</c:v>
                </c:pt>
                <c:pt idx="1165">
                  <c:v>166.42857142857142</c:v>
                </c:pt>
                <c:pt idx="1166">
                  <c:v>166.57142857142858</c:v>
                </c:pt>
                <c:pt idx="1167">
                  <c:v>166.71428571428572</c:v>
                </c:pt>
                <c:pt idx="1168">
                  <c:v>166.85714285714286</c:v>
                </c:pt>
                <c:pt idx="1169">
                  <c:v>167</c:v>
                </c:pt>
                <c:pt idx="1170">
                  <c:v>167.14285714285714</c:v>
                </c:pt>
                <c:pt idx="1171">
                  <c:v>167.28571428571428</c:v>
                </c:pt>
                <c:pt idx="1172">
                  <c:v>167.42857142857142</c:v>
                </c:pt>
                <c:pt idx="1173">
                  <c:v>167.57142857142858</c:v>
                </c:pt>
                <c:pt idx="1174">
                  <c:v>167.71428571428572</c:v>
                </c:pt>
                <c:pt idx="1175">
                  <c:v>167.85714285714286</c:v>
                </c:pt>
                <c:pt idx="1176">
                  <c:v>168</c:v>
                </c:pt>
                <c:pt idx="1177">
                  <c:v>168.14285714285714</c:v>
                </c:pt>
                <c:pt idx="1178">
                  <c:v>168.28571428571428</c:v>
                </c:pt>
                <c:pt idx="1179">
                  <c:v>168.42857142857142</c:v>
                </c:pt>
                <c:pt idx="1180">
                  <c:v>168.57142857142858</c:v>
                </c:pt>
                <c:pt idx="1181">
                  <c:v>168.71428571428572</c:v>
                </c:pt>
                <c:pt idx="1182">
                  <c:v>168.85714285714286</c:v>
                </c:pt>
                <c:pt idx="1183">
                  <c:v>169</c:v>
                </c:pt>
                <c:pt idx="1184">
                  <c:v>169.14285714285714</c:v>
                </c:pt>
                <c:pt idx="1185">
                  <c:v>169.28571428571428</c:v>
                </c:pt>
                <c:pt idx="1186">
                  <c:v>169.42857142857142</c:v>
                </c:pt>
                <c:pt idx="1187">
                  <c:v>169.57142857142858</c:v>
                </c:pt>
                <c:pt idx="1188">
                  <c:v>169.71428571428572</c:v>
                </c:pt>
                <c:pt idx="1189">
                  <c:v>169.85714285714286</c:v>
                </c:pt>
                <c:pt idx="1190">
                  <c:v>170</c:v>
                </c:pt>
                <c:pt idx="1191">
                  <c:v>170.14285714285714</c:v>
                </c:pt>
                <c:pt idx="1192">
                  <c:v>170.28571428571428</c:v>
                </c:pt>
                <c:pt idx="1193">
                  <c:v>170.42857142857142</c:v>
                </c:pt>
                <c:pt idx="1194">
                  <c:v>170.57142857142858</c:v>
                </c:pt>
                <c:pt idx="1195">
                  <c:v>170.71428571428572</c:v>
                </c:pt>
                <c:pt idx="1196">
                  <c:v>170.85714285714286</c:v>
                </c:pt>
                <c:pt idx="1197">
                  <c:v>171</c:v>
                </c:pt>
                <c:pt idx="1198">
                  <c:v>171.14285714285714</c:v>
                </c:pt>
                <c:pt idx="1199">
                  <c:v>171.28571428571428</c:v>
                </c:pt>
                <c:pt idx="1200">
                  <c:v>171.42857142857142</c:v>
                </c:pt>
                <c:pt idx="1201">
                  <c:v>171.57142857142858</c:v>
                </c:pt>
                <c:pt idx="1202">
                  <c:v>171.71428571428572</c:v>
                </c:pt>
                <c:pt idx="1203">
                  <c:v>171.85714285714286</c:v>
                </c:pt>
                <c:pt idx="1204">
                  <c:v>172</c:v>
                </c:pt>
                <c:pt idx="1205">
                  <c:v>172.14285714285714</c:v>
                </c:pt>
                <c:pt idx="1206">
                  <c:v>172.28571428571428</c:v>
                </c:pt>
                <c:pt idx="1207">
                  <c:v>172.42857142857142</c:v>
                </c:pt>
                <c:pt idx="1208">
                  <c:v>172.57142857142858</c:v>
                </c:pt>
                <c:pt idx="1209">
                  <c:v>172.71428571428572</c:v>
                </c:pt>
                <c:pt idx="1210">
                  <c:v>172.85714285714286</c:v>
                </c:pt>
                <c:pt idx="1211">
                  <c:v>173</c:v>
                </c:pt>
                <c:pt idx="1212">
                  <c:v>173.14285714285714</c:v>
                </c:pt>
                <c:pt idx="1213">
                  <c:v>173.28571428571428</c:v>
                </c:pt>
                <c:pt idx="1214">
                  <c:v>173.42857142857142</c:v>
                </c:pt>
                <c:pt idx="1215">
                  <c:v>173.57142857142858</c:v>
                </c:pt>
                <c:pt idx="1216">
                  <c:v>173.71428571428572</c:v>
                </c:pt>
                <c:pt idx="1217">
                  <c:v>173.85714285714286</c:v>
                </c:pt>
                <c:pt idx="1218">
                  <c:v>174</c:v>
                </c:pt>
                <c:pt idx="1219">
                  <c:v>174.14285714285714</c:v>
                </c:pt>
                <c:pt idx="1220">
                  <c:v>174.28571428571428</c:v>
                </c:pt>
                <c:pt idx="1221">
                  <c:v>174.42857142857142</c:v>
                </c:pt>
                <c:pt idx="1222">
                  <c:v>174.57142857142858</c:v>
                </c:pt>
                <c:pt idx="1223">
                  <c:v>174.71428571428572</c:v>
                </c:pt>
                <c:pt idx="1224">
                  <c:v>174.85714285714286</c:v>
                </c:pt>
                <c:pt idx="1225">
                  <c:v>175</c:v>
                </c:pt>
                <c:pt idx="1226">
                  <c:v>175.14285714285714</c:v>
                </c:pt>
                <c:pt idx="1227">
                  <c:v>175.28571428571428</c:v>
                </c:pt>
                <c:pt idx="1228">
                  <c:v>175.42857142857142</c:v>
                </c:pt>
                <c:pt idx="1229">
                  <c:v>175.57142857142858</c:v>
                </c:pt>
                <c:pt idx="1230">
                  <c:v>175.71428571428572</c:v>
                </c:pt>
                <c:pt idx="1231">
                  <c:v>175.85714285714286</c:v>
                </c:pt>
                <c:pt idx="1232">
                  <c:v>176</c:v>
                </c:pt>
                <c:pt idx="1233">
                  <c:v>176.14285714285714</c:v>
                </c:pt>
                <c:pt idx="1234">
                  <c:v>176.28571428571428</c:v>
                </c:pt>
                <c:pt idx="1235">
                  <c:v>176.42857142857142</c:v>
                </c:pt>
                <c:pt idx="1236">
                  <c:v>176.57142857142858</c:v>
                </c:pt>
                <c:pt idx="1237">
                  <c:v>176.71428571428572</c:v>
                </c:pt>
                <c:pt idx="1238">
                  <c:v>176.85714285714286</c:v>
                </c:pt>
                <c:pt idx="1239">
                  <c:v>177</c:v>
                </c:pt>
                <c:pt idx="1240">
                  <c:v>177.14285714285714</c:v>
                </c:pt>
                <c:pt idx="1241">
                  <c:v>177.28571428571428</c:v>
                </c:pt>
                <c:pt idx="1242">
                  <c:v>177.42857142857142</c:v>
                </c:pt>
                <c:pt idx="1243">
                  <c:v>177.57142857142858</c:v>
                </c:pt>
                <c:pt idx="1244">
                  <c:v>177.71428571428572</c:v>
                </c:pt>
                <c:pt idx="1245">
                  <c:v>177.85714285714286</c:v>
                </c:pt>
                <c:pt idx="1246">
                  <c:v>178</c:v>
                </c:pt>
                <c:pt idx="1247">
                  <c:v>178.14285714285714</c:v>
                </c:pt>
                <c:pt idx="1248">
                  <c:v>178.28571428571428</c:v>
                </c:pt>
                <c:pt idx="1249">
                  <c:v>178.42857142857142</c:v>
                </c:pt>
                <c:pt idx="1250">
                  <c:v>178.57142857142858</c:v>
                </c:pt>
                <c:pt idx="1251">
                  <c:v>178.71428571428572</c:v>
                </c:pt>
                <c:pt idx="1252">
                  <c:v>178.85714285714286</c:v>
                </c:pt>
                <c:pt idx="1253">
                  <c:v>179</c:v>
                </c:pt>
                <c:pt idx="1254">
                  <c:v>179.14285714285714</c:v>
                </c:pt>
                <c:pt idx="1255">
                  <c:v>179.28571428571428</c:v>
                </c:pt>
                <c:pt idx="1256">
                  <c:v>179.42857142857142</c:v>
                </c:pt>
                <c:pt idx="1257">
                  <c:v>179.57142857142858</c:v>
                </c:pt>
                <c:pt idx="1258">
                  <c:v>179.71428571428572</c:v>
                </c:pt>
                <c:pt idx="1259">
                  <c:v>179.85714285714286</c:v>
                </c:pt>
                <c:pt idx="1260">
                  <c:v>180</c:v>
                </c:pt>
                <c:pt idx="1261">
                  <c:v>180.14285714285714</c:v>
                </c:pt>
                <c:pt idx="1262">
                  <c:v>180.28571428571428</c:v>
                </c:pt>
                <c:pt idx="1263">
                  <c:v>180.42857142857142</c:v>
                </c:pt>
                <c:pt idx="1264">
                  <c:v>180.57142857142858</c:v>
                </c:pt>
                <c:pt idx="1265">
                  <c:v>180.71428571428572</c:v>
                </c:pt>
                <c:pt idx="1266">
                  <c:v>180.85714285714286</c:v>
                </c:pt>
                <c:pt idx="1267">
                  <c:v>181</c:v>
                </c:pt>
                <c:pt idx="1268">
                  <c:v>181.14285714285714</c:v>
                </c:pt>
                <c:pt idx="1269">
                  <c:v>181.28571428571428</c:v>
                </c:pt>
                <c:pt idx="1270">
                  <c:v>181.42857142857142</c:v>
                </c:pt>
                <c:pt idx="1271">
                  <c:v>181.57142857142858</c:v>
                </c:pt>
                <c:pt idx="1272">
                  <c:v>181.71428571428572</c:v>
                </c:pt>
                <c:pt idx="1273">
                  <c:v>181.85714285714286</c:v>
                </c:pt>
                <c:pt idx="1274">
                  <c:v>182</c:v>
                </c:pt>
                <c:pt idx="1275">
                  <c:v>182.14285714285714</c:v>
                </c:pt>
                <c:pt idx="1276">
                  <c:v>182.28571428571428</c:v>
                </c:pt>
                <c:pt idx="1277">
                  <c:v>182.42857142857142</c:v>
                </c:pt>
                <c:pt idx="1278">
                  <c:v>182.57142857142858</c:v>
                </c:pt>
                <c:pt idx="1279">
                  <c:v>182.71428571428572</c:v>
                </c:pt>
                <c:pt idx="1280">
                  <c:v>182.85714285714286</c:v>
                </c:pt>
                <c:pt idx="1281">
                  <c:v>183</c:v>
                </c:pt>
                <c:pt idx="1282">
                  <c:v>183.14285714285714</c:v>
                </c:pt>
                <c:pt idx="1283">
                  <c:v>183.28571428571428</c:v>
                </c:pt>
                <c:pt idx="1284">
                  <c:v>183.42857142857142</c:v>
                </c:pt>
                <c:pt idx="1285">
                  <c:v>183.57142857142858</c:v>
                </c:pt>
                <c:pt idx="1286">
                  <c:v>183.71428571428572</c:v>
                </c:pt>
                <c:pt idx="1287">
                  <c:v>183.85714285714286</c:v>
                </c:pt>
                <c:pt idx="1288">
                  <c:v>184</c:v>
                </c:pt>
                <c:pt idx="1289">
                  <c:v>184.14285714285714</c:v>
                </c:pt>
                <c:pt idx="1290">
                  <c:v>184.28571428571428</c:v>
                </c:pt>
                <c:pt idx="1291">
                  <c:v>184.42857142857142</c:v>
                </c:pt>
                <c:pt idx="1292">
                  <c:v>184.57142857142858</c:v>
                </c:pt>
                <c:pt idx="1293">
                  <c:v>184.71428571428572</c:v>
                </c:pt>
                <c:pt idx="1294">
                  <c:v>184.85714285714286</c:v>
                </c:pt>
                <c:pt idx="1295">
                  <c:v>185</c:v>
                </c:pt>
                <c:pt idx="1296">
                  <c:v>185.14285714285714</c:v>
                </c:pt>
                <c:pt idx="1297">
                  <c:v>185.28571428571428</c:v>
                </c:pt>
                <c:pt idx="1298">
                  <c:v>185.42857142857142</c:v>
                </c:pt>
                <c:pt idx="1299">
                  <c:v>185.57142857142858</c:v>
                </c:pt>
                <c:pt idx="1300">
                  <c:v>185.71428571428572</c:v>
                </c:pt>
                <c:pt idx="1301">
                  <c:v>185.85714285714286</c:v>
                </c:pt>
                <c:pt idx="1302">
                  <c:v>186</c:v>
                </c:pt>
                <c:pt idx="1303">
                  <c:v>186.14285714285714</c:v>
                </c:pt>
                <c:pt idx="1304">
                  <c:v>186.28571428571428</c:v>
                </c:pt>
                <c:pt idx="1305">
                  <c:v>186.42857142857142</c:v>
                </c:pt>
                <c:pt idx="1306">
                  <c:v>186.57142857142858</c:v>
                </c:pt>
                <c:pt idx="1307">
                  <c:v>186.71428571428572</c:v>
                </c:pt>
                <c:pt idx="1308">
                  <c:v>186.85714285714286</c:v>
                </c:pt>
                <c:pt idx="1309">
                  <c:v>187</c:v>
                </c:pt>
                <c:pt idx="1310">
                  <c:v>187.14285714285714</c:v>
                </c:pt>
                <c:pt idx="1311">
                  <c:v>187.28571428571428</c:v>
                </c:pt>
                <c:pt idx="1312">
                  <c:v>187.42857142857142</c:v>
                </c:pt>
                <c:pt idx="1313">
                  <c:v>187.57142857142858</c:v>
                </c:pt>
                <c:pt idx="1314">
                  <c:v>187.71428571428572</c:v>
                </c:pt>
                <c:pt idx="1315">
                  <c:v>187.85714285714286</c:v>
                </c:pt>
                <c:pt idx="1316">
                  <c:v>188</c:v>
                </c:pt>
                <c:pt idx="1317">
                  <c:v>188.14285714285714</c:v>
                </c:pt>
                <c:pt idx="1318">
                  <c:v>188.28571428571428</c:v>
                </c:pt>
                <c:pt idx="1319">
                  <c:v>188.42857142857142</c:v>
                </c:pt>
                <c:pt idx="1320">
                  <c:v>188.57142857142858</c:v>
                </c:pt>
                <c:pt idx="1321">
                  <c:v>188.71428571428572</c:v>
                </c:pt>
                <c:pt idx="1322">
                  <c:v>188.85714285714286</c:v>
                </c:pt>
                <c:pt idx="1323">
                  <c:v>189</c:v>
                </c:pt>
                <c:pt idx="1324">
                  <c:v>189.14285714285714</c:v>
                </c:pt>
                <c:pt idx="1325">
                  <c:v>189.28571428571428</c:v>
                </c:pt>
                <c:pt idx="1326">
                  <c:v>189.42857142857142</c:v>
                </c:pt>
                <c:pt idx="1327">
                  <c:v>189.57142857142858</c:v>
                </c:pt>
                <c:pt idx="1328">
                  <c:v>189.71428571428572</c:v>
                </c:pt>
                <c:pt idx="1329">
                  <c:v>189.85714285714286</c:v>
                </c:pt>
                <c:pt idx="1330">
                  <c:v>190</c:v>
                </c:pt>
                <c:pt idx="1331">
                  <c:v>190.14285714285714</c:v>
                </c:pt>
                <c:pt idx="1332">
                  <c:v>190.28571428571428</c:v>
                </c:pt>
                <c:pt idx="1333">
                  <c:v>190.42857142857142</c:v>
                </c:pt>
                <c:pt idx="1334">
                  <c:v>190.57142857142858</c:v>
                </c:pt>
                <c:pt idx="1335">
                  <c:v>190.71428571428572</c:v>
                </c:pt>
                <c:pt idx="1336">
                  <c:v>190.85714285714286</c:v>
                </c:pt>
                <c:pt idx="1337">
                  <c:v>191</c:v>
                </c:pt>
                <c:pt idx="1338">
                  <c:v>191.14285714285714</c:v>
                </c:pt>
                <c:pt idx="1339">
                  <c:v>191.28571428571428</c:v>
                </c:pt>
                <c:pt idx="1340">
                  <c:v>191.42857142857142</c:v>
                </c:pt>
                <c:pt idx="1341">
                  <c:v>191.57142857142858</c:v>
                </c:pt>
                <c:pt idx="1342">
                  <c:v>191.71428571428572</c:v>
                </c:pt>
                <c:pt idx="1343">
                  <c:v>191.85714285714286</c:v>
                </c:pt>
                <c:pt idx="1344">
                  <c:v>192</c:v>
                </c:pt>
                <c:pt idx="1345">
                  <c:v>192.14285714285714</c:v>
                </c:pt>
                <c:pt idx="1346">
                  <c:v>192.28571428571428</c:v>
                </c:pt>
                <c:pt idx="1347">
                  <c:v>192.42857142857142</c:v>
                </c:pt>
                <c:pt idx="1348">
                  <c:v>192.57142857142858</c:v>
                </c:pt>
                <c:pt idx="1349">
                  <c:v>192.71428571428572</c:v>
                </c:pt>
                <c:pt idx="1350">
                  <c:v>192.85714285714286</c:v>
                </c:pt>
                <c:pt idx="1351">
                  <c:v>193</c:v>
                </c:pt>
                <c:pt idx="1352">
                  <c:v>193.14285714285714</c:v>
                </c:pt>
                <c:pt idx="1353">
                  <c:v>193.28571428571428</c:v>
                </c:pt>
                <c:pt idx="1354">
                  <c:v>193.42857142857142</c:v>
                </c:pt>
                <c:pt idx="1355">
                  <c:v>193.57142857142858</c:v>
                </c:pt>
                <c:pt idx="1356">
                  <c:v>193.71428571428572</c:v>
                </c:pt>
                <c:pt idx="1357">
                  <c:v>193.85714285714286</c:v>
                </c:pt>
                <c:pt idx="1358">
                  <c:v>194</c:v>
                </c:pt>
                <c:pt idx="1359">
                  <c:v>194.14285714285714</c:v>
                </c:pt>
                <c:pt idx="1360">
                  <c:v>194.28571428571428</c:v>
                </c:pt>
                <c:pt idx="1361">
                  <c:v>194.42857142857142</c:v>
                </c:pt>
                <c:pt idx="1362">
                  <c:v>194.57142857142858</c:v>
                </c:pt>
                <c:pt idx="1363">
                  <c:v>194.71428571428572</c:v>
                </c:pt>
                <c:pt idx="1364">
                  <c:v>194.85714285714286</c:v>
                </c:pt>
                <c:pt idx="1365">
                  <c:v>195</c:v>
                </c:pt>
                <c:pt idx="1366">
                  <c:v>195.14285714285714</c:v>
                </c:pt>
                <c:pt idx="1367">
                  <c:v>195.28571428571428</c:v>
                </c:pt>
                <c:pt idx="1368">
                  <c:v>195.42857142857142</c:v>
                </c:pt>
                <c:pt idx="1369">
                  <c:v>195.57142857142858</c:v>
                </c:pt>
                <c:pt idx="1370">
                  <c:v>195.71428571428572</c:v>
                </c:pt>
                <c:pt idx="1371">
                  <c:v>195.85714285714286</c:v>
                </c:pt>
                <c:pt idx="1372">
                  <c:v>196</c:v>
                </c:pt>
                <c:pt idx="1373">
                  <c:v>196.14285714285714</c:v>
                </c:pt>
                <c:pt idx="1374">
                  <c:v>196.28571428571428</c:v>
                </c:pt>
                <c:pt idx="1375">
                  <c:v>196.42857142857142</c:v>
                </c:pt>
                <c:pt idx="1376">
                  <c:v>196.57142857142858</c:v>
                </c:pt>
                <c:pt idx="1377">
                  <c:v>196.71428571428572</c:v>
                </c:pt>
                <c:pt idx="1378">
                  <c:v>196.85714285714286</c:v>
                </c:pt>
                <c:pt idx="1379">
                  <c:v>197</c:v>
                </c:pt>
                <c:pt idx="1380">
                  <c:v>197.14285714285714</c:v>
                </c:pt>
                <c:pt idx="1381">
                  <c:v>197.28571428571428</c:v>
                </c:pt>
                <c:pt idx="1382">
                  <c:v>197.42857142857142</c:v>
                </c:pt>
                <c:pt idx="1383">
                  <c:v>197.57142857142858</c:v>
                </c:pt>
                <c:pt idx="1384">
                  <c:v>197.71428571428572</c:v>
                </c:pt>
                <c:pt idx="1385">
                  <c:v>197.85714285714286</c:v>
                </c:pt>
                <c:pt idx="1386">
                  <c:v>198</c:v>
                </c:pt>
                <c:pt idx="1387">
                  <c:v>198.14285714285714</c:v>
                </c:pt>
                <c:pt idx="1388">
                  <c:v>198.28571428571428</c:v>
                </c:pt>
                <c:pt idx="1389">
                  <c:v>198.42857142857142</c:v>
                </c:pt>
                <c:pt idx="1390">
                  <c:v>198.57142857142858</c:v>
                </c:pt>
                <c:pt idx="1391">
                  <c:v>198.71428571428572</c:v>
                </c:pt>
                <c:pt idx="1392">
                  <c:v>198.85714285714286</c:v>
                </c:pt>
                <c:pt idx="1393">
                  <c:v>199</c:v>
                </c:pt>
                <c:pt idx="1394">
                  <c:v>199.14285714285714</c:v>
                </c:pt>
                <c:pt idx="1395">
                  <c:v>199.28571428571428</c:v>
                </c:pt>
                <c:pt idx="1396">
                  <c:v>199.42857142857142</c:v>
                </c:pt>
                <c:pt idx="1397">
                  <c:v>199.57142857142858</c:v>
                </c:pt>
                <c:pt idx="1398">
                  <c:v>199.71428571428572</c:v>
                </c:pt>
                <c:pt idx="1399">
                  <c:v>199.85714285714286</c:v>
                </c:pt>
                <c:pt idx="1400">
                  <c:v>200</c:v>
                </c:pt>
                <c:pt idx="1401">
                  <c:v>200.14285714285714</c:v>
                </c:pt>
                <c:pt idx="1402">
                  <c:v>200.28571428571428</c:v>
                </c:pt>
                <c:pt idx="1403">
                  <c:v>200.42857142857142</c:v>
                </c:pt>
                <c:pt idx="1404">
                  <c:v>200.57142857142858</c:v>
                </c:pt>
                <c:pt idx="1405">
                  <c:v>200.71428571428572</c:v>
                </c:pt>
                <c:pt idx="1406">
                  <c:v>200.85714285714286</c:v>
                </c:pt>
                <c:pt idx="1407">
                  <c:v>201</c:v>
                </c:pt>
                <c:pt idx="1408">
                  <c:v>201.14285714285714</c:v>
                </c:pt>
                <c:pt idx="1409">
                  <c:v>201.28571428571428</c:v>
                </c:pt>
                <c:pt idx="1410">
                  <c:v>201.42857142857142</c:v>
                </c:pt>
                <c:pt idx="1411">
                  <c:v>201.57142857142858</c:v>
                </c:pt>
                <c:pt idx="1412">
                  <c:v>201.71428571428572</c:v>
                </c:pt>
                <c:pt idx="1413">
                  <c:v>201.85714285714286</c:v>
                </c:pt>
                <c:pt idx="1414">
                  <c:v>202</c:v>
                </c:pt>
                <c:pt idx="1415">
                  <c:v>202.14285714285714</c:v>
                </c:pt>
                <c:pt idx="1416">
                  <c:v>202.28571428571428</c:v>
                </c:pt>
                <c:pt idx="1417">
                  <c:v>202.42857142857142</c:v>
                </c:pt>
                <c:pt idx="1418">
                  <c:v>202.57142857142858</c:v>
                </c:pt>
                <c:pt idx="1419">
                  <c:v>202.71428571428572</c:v>
                </c:pt>
                <c:pt idx="1420">
                  <c:v>202.85714285714286</c:v>
                </c:pt>
                <c:pt idx="1421">
                  <c:v>203</c:v>
                </c:pt>
                <c:pt idx="1422">
                  <c:v>203.14285714285714</c:v>
                </c:pt>
                <c:pt idx="1423">
                  <c:v>203.28571428571428</c:v>
                </c:pt>
                <c:pt idx="1424">
                  <c:v>203.42857142857142</c:v>
                </c:pt>
                <c:pt idx="1425">
                  <c:v>203.57142857142858</c:v>
                </c:pt>
                <c:pt idx="1426">
                  <c:v>203.71428571428572</c:v>
                </c:pt>
                <c:pt idx="1427">
                  <c:v>203.85714285714286</c:v>
                </c:pt>
                <c:pt idx="1428">
                  <c:v>204</c:v>
                </c:pt>
                <c:pt idx="1429">
                  <c:v>204.14285714285714</c:v>
                </c:pt>
                <c:pt idx="1430">
                  <c:v>204.28571428571428</c:v>
                </c:pt>
                <c:pt idx="1431">
                  <c:v>204.42857142857142</c:v>
                </c:pt>
                <c:pt idx="1432">
                  <c:v>204.57142857142858</c:v>
                </c:pt>
                <c:pt idx="1433">
                  <c:v>204.71428571428572</c:v>
                </c:pt>
                <c:pt idx="1434">
                  <c:v>204.85714285714286</c:v>
                </c:pt>
                <c:pt idx="1435">
                  <c:v>205</c:v>
                </c:pt>
                <c:pt idx="1436">
                  <c:v>205.14285714285714</c:v>
                </c:pt>
                <c:pt idx="1437">
                  <c:v>205.28571428571428</c:v>
                </c:pt>
                <c:pt idx="1438">
                  <c:v>205.42857142857142</c:v>
                </c:pt>
                <c:pt idx="1439">
                  <c:v>205.57142857142858</c:v>
                </c:pt>
                <c:pt idx="1440">
                  <c:v>205.71428571428572</c:v>
                </c:pt>
                <c:pt idx="1441">
                  <c:v>205.85714285714286</c:v>
                </c:pt>
                <c:pt idx="1442">
                  <c:v>206</c:v>
                </c:pt>
                <c:pt idx="1443">
                  <c:v>206.14285714285714</c:v>
                </c:pt>
                <c:pt idx="1444">
                  <c:v>206.28571428571428</c:v>
                </c:pt>
                <c:pt idx="1445">
                  <c:v>206.42857142857142</c:v>
                </c:pt>
                <c:pt idx="1446">
                  <c:v>206.57142857142858</c:v>
                </c:pt>
                <c:pt idx="1447">
                  <c:v>206.71428571428572</c:v>
                </c:pt>
                <c:pt idx="1448">
                  <c:v>206.85714285714286</c:v>
                </c:pt>
                <c:pt idx="1449">
                  <c:v>207</c:v>
                </c:pt>
                <c:pt idx="1450">
                  <c:v>207.14285714285714</c:v>
                </c:pt>
                <c:pt idx="1451">
                  <c:v>207.28571428571428</c:v>
                </c:pt>
                <c:pt idx="1452">
                  <c:v>207.42857142857142</c:v>
                </c:pt>
                <c:pt idx="1453">
                  <c:v>207.57142857142858</c:v>
                </c:pt>
                <c:pt idx="1454">
                  <c:v>207.71428571428572</c:v>
                </c:pt>
                <c:pt idx="1455">
                  <c:v>207.85714285714286</c:v>
                </c:pt>
                <c:pt idx="1456">
                  <c:v>208</c:v>
                </c:pt>
                <c:pt idx="1457">
                  <c:v>208.14285714285714</c:v>
                </c:pt>
                <c:pt idx="1458">
                  <c:v>208.28571428571428</c:v>
                </c:pt>
                <c:pt idx="1459">
                  <c:v>208.42857142857142</c:v>
                </c:pt>
                <c:pt idx="1460">
                  <c:v>208.57142857142858</c:v>
                </c:pt>
                <c:pt idx="1461">
                  <c:v>208.71428571428572</c:v>
                </c:pt>
                <c:pt idx="1462">
                  <c:v>208.85714285714286</c:v>
                </c:pt>
                <c:pt idx="1463">
                  <c:v>209</c:v>
                </c:pt>
                <c:pt idx="1464">
                  <c:v>209.14285714285714</c:v>
                </c:pt>
                <c:pt idx="1465">
                  <c:v>209.28571428571428</c:v>
                </c:pt>
                <c:pt idx="1466">
                  <c:v>209.42857142857142</c:v>
                </c:pt>
                <c:pt idx="1467">
                  <c:v>209.57142857142858</c:v>
                </c:pt>
                <c:pt idx="1468">
                  <c:v>209.71428571428572</c:v>
                </c:pt>
                <c:pt idx="1469">
                  <c:v>209.85714285714286</c:v>
                </c:pt>
                <c:pt idx="1470">
                  <c:v>210</c:v>
                </c:pt>
                <c:pt idx="1471">
                  <c:v>210.14285714285714</c:v>
                </c:pt>
                <c:pt idx="1472">
                  <c:v>210.28571428571428</c:v>
                </c:pt>
                <c:pt idx="1473">
                  <c:v>210.42857142857142</c:v>
                </c:pt>
                <c:pt idx="1474">
                  <c:v>210.57142857142858</c:v>
                </c:pt>
                <c:pt idx="1475">
                  <c:v>210.71428571428572</c:v>
                </c:pt>
                <c:pt idx="1476">
                  <c:v>210.85714285714286</c:v>
                </c:pt>
                <c:pt idx="1477">
                  <c:v>211</c:v>
                </c:pt>
                <c:pt idx="1478">
                  <c:v>211.14285714285714</c:v>
                </c:pt>
                <c:pt idx="1479">
                  <c:v>211.28571428571428</c:v>
                </c:pt>
                <c:pt idx="1480">
                  <c:v>211.42857142857142</c:v>
                </c:pt>
                <c:pt idx="1481">
                  <c:v>211.57142857142858</c:v>
                </c:pt>
                <c:pt idx="1482">
                  <c:v>211.71428571428572</c:v>
                </c:pt>
                <c:pt idx="1483">
                  <c:v>211.85714285714286</c:v>
                </c:pt>
                <c:pt idx="1484">
                  <c:v>212</c:v>
                </c:pt>
                <c:pt idx="1485">
                  <c:v>212.14285714285714</c:v>
                </c:pt>
                <c:pt idx="1486">
                  <c:v>212.28571428571428</c:v>
                </c:pt>
                <c:pt idx="1487">
                  <c:v>212.42857142857142</c:v>
                </c:pt>
                <c:pt idx="1488">
                  <c:v>212.57142857142858</c:v>
                </c:pt>
                <c:pt idx="1489">
                  <c:v>212.71428571428572</c:v>
                </c:pt>
                <c:pt idx="1490">
                  <c:v>212.85714285714286</c:v>
                </c:pt>
                <c:pt idx="1491">
                  <c:v>213</c:v>
                </c:pt>
                <c:pt idx="1492">
                  <c:v>213.14285714285714</c:v>
                </c:pt>
                <c:pt idx="1493">
                  <c:v>213.28571428571428</c:v>
                </c:pt>
                <c:pt idx="1494">
                  <c:v>213.42857142857142</c:v>
                </c:pt>
                <c:pt idx="1495">
                  <c:v>213.57142857142858</c:v>
                </c:pt>
                <c:pt idx="1496">
                  <c:v>213.71428571428572</c:v>
                </c:pt>
                <c:pt idx="1497">
                  <c:v>213.85714285714286</c:v>
                </c:pt>
                <c:pt idx="1498">
                  <c:v>214</c:v>
                </c:pt>
                <c:pt idx="1499">
                  <c:v>214.14285714285714</c:v>
                </c:pt>
                <c:pt idx="1500">
                  <c:v>214.28571428571428</c:v>
                </c:pt>
                <c:pt idx="1501">
                  <c:v>214.42857142857142</c:v>
                </c:pt>
                <c:pt idx="1502">
                  <c:v>214.57142857142858</c:v>
                </c:pt>
                <c:pt idx="1503">
                  <c:v>214.71428571428572</c:v>
                </c:pt>
                <c:pt idx="1504">
                  <c:v>214.85714285714286</c:v>
                </c:pt>
                <c:pt idx="1505">
                  <c:v>215</c:v>
                </c:pt>
                <c:pt idx="1506">
                  <c:v>215.14285714285714</c:v>
                </c:pt>
                <c:pt idx="1507">
                  <c:v>215.28571428571428</c:v>
                </c:pt>
                <c:pt idx="1508">
                  <c:v>215.42857142857142</c:v>
                </c:pt>
                <c:pt idx="1509">
                  <c:v>215.57142857142858</c:v>
                </c:pt>
                <c:pt idx="1510">
                  <c:v>215.71428571428572</c:v>
                </c:pt>
                <c:pt idx="1511">
                  <c:v>215.85714285714286</c:v>
                </c:pt>
                <c:pt idx="1512">
                  <c:v>216</c:v>
                </c:pt>
                <c:pt idx="1513">
                  <c:v>216.14285714285714</c:v>
                </c:pt>
                <c:pt idx="1514">
                  <c:v>216.28571428571428</c:v>
                </c:pt>
                <c:pt idx="1515">
                  <c:v>216.42857142857142</c:v>
                </c:pt>
                <c:pt idx="1516">
                  <c:v>216.57142857142858</c:v>
                </c:pt>
                <c:pt idx="1517">
                  <c:v>216.71428571428572</c:v>
                </c:pt>
                <c:pt idx="1518">
                  <c:v>216.85714285714286</c:v>
                </c:pt>
                <c:pt idx="1519">
                  <c:v>217</c:v>
                </c:pt>
                <c:pt idx="1520">
                  <c:v>217.14285714285714</c:v>
                </c:pt>
                <c:pt idx="1521">
                  <c:v>217.28571428571428</c:v>
                </c:pt>
                <c:pt idx="1522">
                  <c:v>217.42857142857142</c:v>
                </c:pt>
                <c:pt idx="1523">
                  <c:v>217.57142857142858</c:v>
                </c:pt>
                <c:pt idx="1524">
                  <c:v>217.71428571428572</c:v>
                </c:pt>
                <c:pt idx="1525">
                  <c:v>217.85714285714286</c:v>
                </c:pt>
                <c:pt idx="1526">
                  <c:v>218</c:v>
                </c:pt>
                <c:pt idx="1527">
                  <c:v>218.14285714285714</c:v>
                </c:pt>
                <c:pt idx="1528">
                  <c:v>218.28571428571428</c:v>
                </c:pt>
                <c:pt idx="1529">
                  <c:v>218.42857142857142</c:v>
                </c:pt>
                <c:pt idx="1530">
                  <c:v>218.57142857142858</c:v>
                </c:pt>
                <c:pt idx="1531">
                  <c:v>218.71428571428572</c:v>
                </c:pt>
                <c:pt idx="1532">
                  <c:v>218.85714285714286</c:v>
                </c:pt>
                <c:pt idx="1533">
                  <c:v>219</c:v>
                </c:pt>
                <c:pt idx="1534">
                  <c:v>219.14285714285714</c:v>
                </c:pt>
                <c:pt idx="1535">
                  <c:v>219.28571428571428</c:v>
                </c:pt>
                <c:pt idx="1536">
                  <c:v>219.42857142857142</c:v>
                </c:pt>
                <c:pt idx="1537">
                  <c:v>219.57142857142858</c:v>
                </c:pt>
                <c:pt idx="1538">
                  <c:v>219.71428571428572</c:v>
                </c:pt>
                <c:pt idx="1539">
                  <c:v>219.85714285714286</c:v>
                </c:pt>
                <c:pt idx="1540">
                  <c:v>220</c:v>
                </c:pt>
                <c:pt idx="1541">
                  <c:v>220.14285714285714</c:v>
                </c:pt>
                <c:pt idx="1542">
                  <c:v>220.28571428571428</c:v>
                </c:pt>
                <c:pt idx="1543">
                  <c:v>220.42857142857142</c:v>
                </c:pt>
                <c:pt idx="1544">
                  <c:v>220.57142857142858</c:v>
                </c:pt>
                <c:pt idx="1545">
                  <c:v>220.71428571428572</c:v>
                </c:pt>
                <c:pt idx="1546">
                  <c:v>220.85714285714286</c:v>
                </c:pt>
                <c:pt idx="1547">
                  <c:v>221</c:v>
                </c:pt>
                <c:pt idx="1548">
                  <c:v>221.14285714285714</c:v>
                </c:pt>
                <c:pt idx="1549">
                  <c:v>221.28571428571428</c:v>
                </c:pt>
                <c:pt idx="1550">
                  <c:v>221.42857142857142</c:v>
                </c:pt>
                <c:pt idx="1551">
                  <c:v>221.57142857142858</c:v>
                </c:pt>
                <c:pt idx="1552">
                  <c:v>221.71428571428572</c:v>
                </c:pt>
                <c:pt idx="1553">
                  <c:v>221.85714285714286</c:v>
                </c:pt>
                <c:pt idx="1554">
                  <c:v>222</c:v>
                </c:pt>
                <c:pt idx="1555">
                  <c:v>222.14285714285714</c:v>
                </c:pt>
                <c:pt idx="1556">
                  <c:v>222.28571428571428</c:v>
                </c:pt>
                <c:pt idx="1557">
                  <c:v>222.42857142857142</c:v>
                </c:pt>
                <c:pt idx="1558">
                  <c:v>222.57142857142858</c:v>
                </c:pt>
                <c:pt idx="1559">
                  <c:v>222.71428571428572</c:v>
                </c:pt>
                <c:pt idx="1560">
                  <c:v>222.85714285714286</c:v>
                </c:pt>
                <c:pt idx="1561">
                  <c:v>223</c:v>
                </c:pt>
                <c:pt idx="1562">
                  <c:v>223.14285714285714</c:v>
                </c:pt>
                <c:pt idx="1563">
                  <c:v>223.28571428571428</c:v>
                </c:pt>
                <c:pt idx="1564">
                  <c:v>223.42857142857142</c:v>
                </c:pt>
                <c:pt idx="1565">
                  <c:v>223.57142857142858</c:v>
                </c:pt>
                <c:pt idx="1566">
                  <c:v>223.71428571428572</c:v>
                </c:pt>
                <c:pt idx="1567">
                  <c:v>223.85714285714286</c:v>
                </c:pt>
                <c:pt idx="1568">
                  <c:v>224</c:v>
                </c:pt>
                <c:pt idx="1569">
                  <c:v>224.14285714285714</c:v>
                </c:pt>
                <c:pt idx="1570">
                  <c:v>224.28571428571428</c:v>
                </c:pt>
                <c:pt idx="1571">
                  <c:v>224.42857142857142</c:v>
                </c:pt>
                <c:pt idx="1572">
                  <c:v>224.57142857142858</c:v>
                </c:pt>
                <c:pt idx="1573">
                  <c:v>224.71428571428572</c:v>
                </c:pt>
                <c:pt idx="1574">
                  <c:v>224.85714285714286</c:v>
                </c:pt>
                <c:pt idx="1575">
                  <c:v>225</c:v>
                </c:pt>
                <c:pt idx="1576">
                  <c:v>225.14285714285714</c:v>
                </c:pt>
                <c:pt idx="1577">
                  <c:v>225.28571428571428</c:v>
                </c:pt>
                <c:pt idx="1578">
                  <c:v>225.42857142857142</c:v>
                </c:pt>
                <c:pt idx="1579">
                  <c:v>225.57142857142858</c:v>
                </c:pt>
                <c:pt idx="1580">
                  <c:v>225.71428571428572</c:v>
                </c:pt>
                <c:pt idx="1581">
                  <c:v>225.85714285714286</c:v>
                </c:pt>
                <c:pt idx="1582">
                  <c:v>226</c:v>
                </c:pt>
                <c:pt idx="1583">
                  <c:v>226.14285714285714</c:v>
                </c:pt>
                <c:pt idx="1584">
                  <c:v>226.28571428571428</c:v>
                </c:pt>
                <c:pt idx="1585">
                  <c:v>226.42857142857142</c:v>
                </c:pt>
                <c:pt idx="1586">
                  <c:v>226.57142857142858</c:v>
                </c:pt>
                <c:pt idx="1587">
                  <c:v>226.71428571428572</c:v>
                </c:pt>
                <c:pt idx="1588">
                  <c:v>226.85714285714286</c:v>
                </c:pt>
                <c:pt idx="1589">
                  <c:v>227</c:v>
                </c:pt>
                <c:pt idx="1590">
                  <c:v>227.14285714285714</c:v>
                </c:pt>
                <c:pt idx="1591">
                  <c:v>227.28571428571428</c:v>
                </c:pt>
                <c:pt idx="1592">
                  <c:v>227.42857142857142</c:v>
                </c:pt>
                <c:pt idx="1593">
                  <c:v>227.57142857142858</c:v>
                </c:pt>
                <c:pt idx="1594">
                  <c:v>227.71428571428572</c:v>
                </c:pt>
                <c:pt idx="1595">
                  <c:v>227.85714285714286</c:v>
                </c:pt>
                <c:pt idx="1596">
                  <c:v>228</c:v>
                </c:pt>
                <c:pt idx="1597">
                  <c:v>228.14285714285714</c:v>
                </c:pt>
                <c:pt idx="1598">
                  <c:v>228.28571428571428</c:v>
                </c:pt>
                <c:pt idx="1599">
                  <c:v>228.42857142857142</c:v>
                </c:pt>
                <c:pt idx="1600">
                  <c:v>228.57142857142858</c:v>
                </c:pt>
                <c:pt idx="1601">
                  <c:v>228.71428571428572</c:v>
                </c:pt>
                <c:pt idx="1602">
                  <c:v>228.85714285714286</c:v>
                </c:pt>
                <c:pt idx="1603">
                  <c:v>229</c:v>
                </c:pt>
                <c:pt idx="1604">
                  <c:v>229.14285714285714</c:v>
                </c:pt>
                <c:pt idx="1605">
                  <c:v>229.28571428571428</c:v>
                </c:pt>
                <c:pt idx="1606">
                  <c:v>229.42857142857142</c:v>
                </c:pt>
                <c:pt idx="1607">
                  <c:v>229.57142857142858</c:v>
                </c:pt>
                <c:pt idx="1608">
                  <c:v>229.71428571428572</c:v>
                </c:pt>
                <c:pt idx="1609">
                  <c:v>229.85714285714286</c:v>
                </c:pt>
                <c:pt idx="1610">
                  <c:v>230</c:v>
                </c:pt>
                <c:pt idx="1611">
                  <c:v>230.14285714285714</c:v>
                </c:pt>
                <c:pt idx="1612">
                  <c:v>230.28571428571428</c:v>
                </c:pt>
                <c:pt idx="1613">
                  <c:v>230.42857142857142</c:v>
                </c:pt>
                <c:pt idx="1614">
                  <c:v>230.57142857142858</c:v>
                </c:pt>
                <c:pt idx="1615">
                  <c:v>230.71428571428572</c:v>
                </c:pt>
                <c:pt idx="1616">
                  <c:v>230.85714285714286</c:v>
                </c:pt>
                <c:pt idx="1617">
                  <c:v>231</c:v>
                </c:pt>
                <c:pt idx="1618">
                  <c:v>231.14285714285714</c:v>
                </c:pt>
                <c:pt idx="1619">
                  <c:v>231.28571428571428</c:v>
                </c:pt>
                <c:pt idx="1620">
                  <c:v>231.42857142857142</c:v>
                </c:pt>
                <c:pt idx="1621">
                  <c:v>231.57142857142858</c:v>
                </c:pt>
                <c:pt idx="1622">
                  <c:v>231.71428571428572</c:v>
                </c:pt>
                <c:pt idx="1623">
                  <c:v>231.85714285714286</c:v>
                </c:pt>
                <c:pt idx="1624">
                  <c:v>232</c:v>
                </c:pt>
                <c:pt idx="1625">
                  <c:v>232.14285714285714</c:v>
                </c:pt>
                <c:pt idx="1626">
                  <c:v>232.28571428571428</c:v>
                </c:pt>
                <c:pt idx="1627">
                  <c:v>232.42857142857142</c:v>
                </c:pt>
                <c:pt idx="1628">
                  <c:v>232.57142857142858</c:v>
                </c:pt>
                <c:pt idx="1629">
                  <c:v>232.71428571428572</c:v>
                </c:pt>
                <c:pt idx="1630">
                  <c:v>232.85714285714286</c:v>
                </c:pt>
                <c:pt idx="1631">
                  <c:v>233</c:v>
                </c:pt>
                <c:pt idx="1632">
                  <c:v>233.14285714285714</c:v>
                </c:pt>
                <c:pt idx="1633">
                  <c:v>233.28571428571428</c:v>
                </c:pt>
                <c:pt idx="1634">
                  <c:v>233.42857142857142</c:v>
                </c:pt>
                <c:pt idx="1635">
                  <c:v>233.57142857142858</c:v>
                </c:pt>
                <c:pt idx="1636">
                  <c:v>233.71428571428572</c:v>
                </c:pt>
                <c:pt idx="1637">
                  <c:v>233.85714285714286</c:v>
                </c:pt>
                <c:pt idx="1638">
                  <c:v>234</c:v>
                </c:pt>
                <c:pt idx="1639">
                  <c:v>234.14285714285714</c:v>
                </c:pt>
                <c:pt idx="1640">
                  <c:v>234.28571428571428</c:v>
                </c:pt>
                <c:pt idx="1641">
                  <c:v>234.42857142857142</c:v>
                </c:pt>
                <c:pt idx="1642">
                  <c:v>234.57142857142858</c:v>
                </c:pt>
                <c:pt idx="1643">
                  <c:v>234.71428571428572</c:v>
                </c:pt>
                <c:pt idx="1644">
                  <c:v>234.85714285714286</c:v>
                </c:pt>
                <c:pt idx="1645">
                  <c:v>235</c:v>
                </c:pt>
                <c:pt idx="1646">
                  <c:v>235.14285714285714</c:v>
                </c:pt>
                <c:pt idx="1647">
                  <c:v>235.28571428571428</c:v>
                </c:pt>
                <c:pt idx="1648">
                  <c:v>235.42857142857142</c:v>
                </c:pt>
                <c:pt idx="1649">
                  <c:v>235.57142857142858</c:v>
                </c:pt>
                <c:pt idx="1650">
                  <c:v>235.71428571428572</c:v>
                </c:pt>
                <c:pt idx="1651">
                  <c:v>235.85714285714286</c:v>
                </c:pt>
                <c:pt idx="1652">
                  <c:v>236</c:v>
                </c:pt>
                <c:pt idx="1653">
                  <c:v>236.14285714285714</c:v>
                </c:pt>
                <c:pt idx="1654">
                  <c:v>236.28571428571428</c:v>
                </c:pt>
                <c:pt idx="1655">
                  <c:v>236.42857142857142</c:v>
                </c:pt>
                <c:pt idx="1656">
                  <c:v>236.57142857142858</c:v>
                </c:pt>
                <c:pt idx="1657">
                  <c:v>236.71428571428572</c:v>
                </c:pt>
                <c:pt idx="1658">
                  <c:v>236.85714285714286</c:v>
                </c:pt>
                <c:pt idx="1659">
                  <c:v>237</c:v>
                </c:pt>
                <c:pt idx="1660">
                  <c:v>237.14285714285714</c:v>
                </c:pt>
                <c:pt idx="1661">
                  <c:v>237.28571428571428</c:v>
                </c:pt>
                <c:pt idx="1662">
                  <c:v>237.42857142857142</c:v>
                </c:pt>
                <c:pt idx="1663">
                  <c:v>237.57142857142858</c:v>
                </c:pt>
                <c:pt idx="1664">
                  <c:v>237.71428571428572</c:v>
                </c:pt>
                <c:pt idx="1665">
                  <c:v>237.85714285714286</c:v>
                </c:pt>
                <c:pt idx="1666">
                  <c:v>238</c:v>
                </c:pt>
                <c:pt idx="1667">
                  <c:v>238.14285714285714</c:v>
                </c:pt>
                <c:pt idx="1668">
                  <c:v>238.28571428571428</c:v>
                </c:pt>
                <c:pt idx="1669">
                  <c:v>238.42857142857142</c:v>
                </c:pt>
                <c:pt idx="1670">
                  <c:v>238.57142857142858</c:v>
                </c:pt>
                <c:pt idx="1671">
                  <c:v>238.71428571428572</c:v>
                </c:pt>
                <c:pt idx="1672">
                  <c:v>238.85714285714286</c:v>
                </c:pt>
                <c:pt idx="1673">
                  <c:v>239</c:v>
                </c:pt>
                <c:pt idx="1674">
                  <c:v>239.14285714285714</c:v>
                </c:pt>
                <c:pt idx="1675">
                  <c:v>239.28571428571428</c:v>
                </c:pt>
                <c:pt idx="1676">
                  <c:v>239.42857142857142</c:v>
                </c:pt>
                <c:pt idx="1677">
                  <c:v>239.57142857142858</c:v>
                </c:pt>
                <c:pt idx="1678">
                  <c:v>239.71428571428572</c:v>
                </c:pt>
                <c:pt idx="1679">
                  <c:v>239.85714285714286</c:v>
                </c:pt>
                <c:pt idx="1680">
                  <c:v>240</c:v>
                </c:pt>
                <c:pt idx="1681">
                  <c:v>240.14285714285714</c:v>
                </c:pt>
                <c:pt idx="1682">
                  <c:v>240.28571428571428</c:v>
                </c:pt>
                <c:pt idx="1683">
                  <c:v>240.42857142857142</c:v>
                </c:pt>
                <c:pt idx="1684">
                  <c:v>240.57142857142858</c:v>
                </c:pt>
                <c:pt idx="1685">
                  <c:v>240.71428571428572</c:v>
                </c:pt>
                <c:pt idx="1686">
                  <c:v>240.85714285714286</c:v>
                </c:pt>
                <c:pt idx="1687">
                  <c:v>241</c:v>
                </c:pt>
                <c:pt idx="1688">
                  <c:v>241.14285714285714</c:v>
                </c:pt>
                <c:pt idx="1689">
                  <c:v>241.28571428571428</c:v>
                </c:pt>
                <c:pt idx="1690">
                  <c:v>241.42857142857142</c:v>
                </c:pt>
                <c:pt idx="1691">
                  <c:v>241.57142857142858</c:v>
                </c:pt>
                <c:pt idx="1692">
                  <c:v>241.71428571428572</c:v>
                </c:pt>
                <c:pt idx="1693">
                  <c:v>241.85714285714286</c:v>
                </c:pt>
                <c:pt idx="1694">
                  <c:v>242</c:v>
                </c:pt>
                <c:pt idx="1695">
                  <c:v>242.14285714285714</c:v>
                </c:pt>
                <c:pt idx="1696">
                  <c:v>242.28571428571428</c:v>
                </c:pt>
                <c:pt idx="1697">
                  <c:v>242.42857142857142</c:v>
                </c:pt>
                <c:pt idx="1698">
                  <c:v>242.57142857142858</c:v>
                </c:pt>
                <c:pt idx="1699">
                  <c:v>242.71428571428572</c:v>
                </c:pt>
                <c:pt idx="1700">
                  <c:v>242.85714285714286</c:v>
                </c:pt>
                <c:pt idx="1701">
                  <c:v>243</c:v>
                </c:pt>
                <c:pt idx="1702">
                  <c:v>243.14285714285714</c:v>
                </c:pt>
                <c:pt idx="1703">
                  <c:v>243.28571428571428</c:v>
                </c:pt>
                <c:pt idx="1704">
                  <c:v>243.42857142857142</c:v>
                </c:pt>
                <c:pt idx="1705">
                  <c:v>243.57142857142858</c:v>
                </c:pt>
                <c:pt idx="1706">
                  <c:v>243.71428571428572</c:v>
                </c:pt>
                <c:pt idx="1707">
                  <c:v>243.85714285714286</c:v>
                </c:pt>
                <c:pt idx="1708">
                  <c:v>244</c:v>
                </c:pt>
                <c:pt idx="1709">
                  <c:v>244.14285714285714</c:v>
                </c:pt>
                <c:pt idx="1710">
                  <c:v>244.28571428571428</c:v>
                </c:pt>
                <c:pt idx="1711">
                  <c:v>244.42857142857142</c:v>
                </c:pt>
                <c:pt idx="1712">
                  <c:v>244.57142857142858</c:v>
                </c:pt>
                <c:pt idx="1713">
                  <c:v>244.71428571428572</c:v>
                </c:pt>
                <c:pt idx="1714">
                  <c:v>244.85714285714286</c:v>
                </c:pt>
                <c:pt idx="1715">
                  <c:v>245</c:v>
                </c:pt>
                <c:pt idx="1716">
                  <c:v>245.14285714285714</c:v>
                </c:pt>
                <c:pt idx="1717">
                  <c:v>245.28571428571428</c:v>
                </c:pt>
                <c:pt idx="1718">
                  <c:v>245.42857142857142</c:v>
                </c:pt>
                <c:pt idx="1719">
                  <c:v>245.57142857142858</c:v>
                </c:pt>
                <c:pt idx="1720">
                  <c:v>245.71428571428572</c:v>
                </c:pt>
                <c:pt idx="1721">
                  <c:v>245.85714285714286</c:v>
                </c:pt>
                <c:pt idx="1722">
                  <c:v>246</c:v>
                </c:pt>
                <c:pt idx="1723">
                  <c:v>246.14285714285714</c:v>
                </c:pt>
                <c:pt idx="1724">
                  <c:v>246.28571428571428</c:v>
                </c:pt>
                <c:pt idx="1725">
                  <c:v>246.42857142857142</c:v>
                </c:pt>
                <c:pt idx="1726">
                  <c:v>246.57142857142858</c:v>
                </c:pt>
                <c:pt idx="1727">
                  <c:v>246.71428571428572</c:v>
                </c:pt>
                <c:pt idx="1728">
                  <c:v>246.85714285714286</c:v>
                </c:pt>
                <c:pt idx="1729">
                  <c:v>247</c:v>
                </c:pt>
                <c:pt idx="1730">
                  <c:v>247.14285714285714</c:v>
                </c:pt>
                <c:pt idx="1731">
                  <c:v>247.28571428571428</c:v>
                </c:pt>
                <c:pt idx="1732">
                  <c:v>247.42857142857142</c:v>
                </c:pt>
                <c:pt idx="1733">
                  <c:v>247.57142857142858</c:v>
                </c:pt>
                <c:pt idx="1734">
                  <c:v>247.71428571428572</c:v>
                </c:pt>
                <c:pt idx="1735">
                  <c:v>247.85714285714286</c:v>
                </c:pt>
                <c:pt idx="1736">
                  <c:v>248</c:v>
                </c:pt>
                <c:pt idx="1737">
                  <c:v>248.14285714285714</c:v>
                </c:pt>
                <c:pt idx="1738">
                  <c:v>248.28571428571428</c:v>
                </c:pt>
                <c:pt idx="1739">
                  <c:v>248.42857142857142</c:v>
                </c:pt>
                <c:pt idx="1740">
                  <c:v>248.57142857142858</c:v>
                </c:pt>
                <c:pt idx="1741">
                  <c:v>248.71428571428572</c:v>
                </c:pt>
                <c:pt idx="1742">
                  <c:v>248.85714285714286</c:v>
                </c:pt>
                <c:pt idx="1743">
                  <c:v>249</c:v>
                </c:pt>
                <c:pt idx="1744">
                  <c:v>249.14285714285714</c:v>
                </c:pt>
                <c:pt idx="1745">
                  <c:v>249.28571428571428</c:v>
                </c:pt>
                <c:pt idx="1746">
                  <c:v>249.42857142857142</c:v>
                </c:pt>
                <c:pt idx="1747">
                  <c:v>249.57142857142858</c:v>
                </c:pt>
                <c:pt idx="1748">
                  <c:v>249.71428571428572</c:v>
                </c:pt>
                <c:pt idx="1749">
                  <c:v>249.85714285714286</c:v>
                </c:pt>
                <c:pt idx="1750">
                  <c:v>250</c:v>
                </c:pt>
                <c:pt idx="1751">
                  <c:v>250.14285714285714</c:v>
                </c:pt>
                <c:pt idx="1752">
                  <c:v>250.28571428571428</c:v>
                </c:pt>
                <c:pt idx="1753">
                  <c:v>250.42857142857142</c:v>
                </c:pt>
                <c:pt idx="1754">
                  <c:v>250.57142857142858</c:v>
                </c:pt>
                <c:pt idx="1755">
                  <c:v>250.71428571428572</c:v>
                </c:pt>
                <c:pt idx="1756">
                  <c:v>250.85714285714286</c:v>
                </c:pt>
                <c:pt idx="1757">
                  <c:v>251</c:v>
                </c:pt>
                <c:pt idx="1758">
                  <c:v>251.14285714285714</c:v>
                </c:pt>
                <c:pt idx="1759">
                  <c:v>251.28571428571428</c:v>
                </c:pt>
                <c:pt idx="1760">
                  <c:v>251.42857142857142</c:v>
                </c:pt>
                <c:pt idx="1761">
                  <c:v>251.57142857142858</c:v>
                </c:pt>
                <c:pt idx="1762">
                  <c:v>251.71428571428572</c:v>
                </c:pt>
                <c:pt idx="1763">
                  <c:v>251.85714285714286</c:v>
                </c:pt>
                <c:pt idx="1764">
                  <c:v>252</c:v>
                </c:pt>
                <c:pt idx="1765">
                  <c:v>252.14285714285714</c:v>
                </c:pt>
                <c:pt idx="1766">
                  <c:v>252.28571428571428</c:v>
                </c:pt>
                <c:pt idx="1767">
                  <c:v>252.42857142857142</c:v>
                </c:pt>
                <c:pt idx="1768">
                  <c:v>252.57142857142858</c:v>
                </c:pt>
                <c:pt idx="1769">
                  <c:v>252.71428571428572</c:v>
                </c:pt>
                <c:pt idx="1770">
                  <c:v>252.85714285714286</c:v>
                </c:pt>
                <c:pt idx="1771">
                  <c:v>253</c:v>
                </c:pt>
                <c:pt idx="1772">
                  <c:v>253.14285714285714</c:v>
                </c:pt>
                <c:pt idx="1773">
                  <c:v>253.28571428571428</c:v>
                </c:pt>
                <c:pt idx="1774">
                  <c:v>253.42857142857142</c:v>
                </c:pt>
                <c:pt idx="1775">
                  <c:v>253.57142857142858</c:v>
                </c:pt>
                <c:pt idx="1776">
                  <c:v>253.71428571428572</c:v>
                </c:pt>
                <c:pt idx="1777">
                  <c:v>253.85714285714286</c:v>
                </c:pt>
                <c:pt idx="1778">
                  <c:v>254</c:v>
                </c:pt>
                <c:pt idx="1779">
                  <c:v>254.14285714285714</c:v>
                </c:pt>
                <c:pt idx="1780">
                  <c:v>254.28571428571428</c:v>
                </c:pt>
                <c:pt idx="1781">
                  <c:v>254.42857142857142</c:v>
                </c:pt>
                <c:pt idx="1782">
                  <c:v>254.57142857142858</c:v>
                </c:pt>
                <c:pt idx="1783">
                  <c:v>254.71428571428572</c:v>
                </c:pt>
                <c:pt idx="1784">
                  <c:v>254.85714285714286</c:v>
                </c:pt>
                <c:pt idx="1785">
                  <c:v>255</c:v>
                </c:pt>
                <c:pt idx="1786">
                  <c:v>255.14285714285714</c:v>
                </c:pt>
                <c:pt idx="1787">
                  <c:v>255.28571428571428</c:v>
                </c:pt>
                <c:pt idx="1788">
                  <c:v>255.42857142857142</c:v>
                </c:pt>
                <c:pt idx="1789">
                  <c:v>255.57142857142858</c:v>
                </c:pt>
                <c:pt idx="1790">
                  <c:v>255.71428571428572</c:v>
                </c:pt>
                <c:pt idx="1791">
                  <c:v>255.85714285714286</c:v>
                </c:pt>
                <c:pt idx="1792">
                  <c:v>256</c:v>
                </c:pt>
                <c:pt idx="1793">
                  <c:v>256.14285714285717</c:v>
                </c:pt>
                <c:pt idx="1794">
                  <c:v>256.28571428571428</c:v>
                </c:pt>
                <c:pt idx="1795">
                  <c:v>256.42857142857144</c:v>
                </c:pt>
                <c:pt idx="1796">
                  <c:v>256.57142857142856</c:v>
                </c:pt>
                <c:pt idx="1797">
                  <c:v>256.71428571428572</c:v>
                </c:pt>
                <c:pt idx="1798">
                  <c:v>256.85714285714283</c:v>
                </c:pt>
                <c:pt idx="1799">
                  <c:v>257</c:v>
                </c:pt>
                <c:pt idx="1800">
                  <c:v>257.14285714285717</c:v>
                </c:pt>
                <c:pt idx="1801">
                  <c:v>257.28571428571428</c:v>
                </c:pt>
                <c:pt idx="1802">
                  <c:v>257.42857142857144</c:v>
                </c:pt>
                <c:pt idx="1803">
                  <c:v>257.57142857142856</c:v>
                </c:pt>
                <c:pt idx="1804">
                  <c:v>257.71428571428572</c:v>
                </c:pt>
                <c:pt idx="1805">
                  <c:v>257.85714285714283</c:v>
                </c:pt>
                <c:pt idx="1806">
                  <c:v>258</c:v>
                </c:pt>
                <c:pt idx="1807">
                  <c:v>258.14285714285717</c:v>
                </c:pt>
                <c:pt idx="1808">
                  <c:v>258.28571428571428</c:v>
                </c:pt>
                <c:pt idx="1809">
                  <c:v>258.42857142857144</c:v>
                </c:pt>
                <c:pt idx="1810">
                  <c:v>258.57142857142856</c:v>
                </c:pt>
                <c:pt idx="1811">
                  <c:v>258.71428571428572</c:v>
                </c:pt>
                <c:pt idx="1812">
                  <c:v>258.85714285714283</c:v>
                </c:pt>
                <c:pt idx="1813">
                  <c:v>259</c:v>
                </c:pt>
                <c:pt idx="1814">
                  <c:v>259.14285714285717</c:v>
                </c:pt>
                <c:pt idx="1815">
                  <c:v>259.28571428571428</c:v>
                </c:pt>
                <c:pt idx="1816">
                  <c:v>259.42857142857144</c:v>
                </c:pt>
                <c:pt idx="1817">
                  <c:v>259.57142857142856</c:v>
                </c:pt>
                <c:pt idx="1818">
                  <c:v>259.71428571428572</c:v>
                </c:pt>
                <c:pt idx="1819">
                  <c:v>259.85714285714283</c:v>
                </c:pt>
                <c:pt idx="1820">
                  <c:v>260</c:v>
                </c:pt>
                <c:pt idx="1821">
                  <c:v>260.14285714285717</c:v>
                </c:pt>
                <c:pt idx="1822">
                  <c:v>260.28571428571428</c:v>
                </c:pt>
                <c:pt idx="1823">
                  <c:v>260.42857142857144</c:v>
                </c:pt>
                <c:pt idx="1824">
                  <c:v>260.57142857142856</c:v>
                </c:pt>
                <c:pt idx="1825">
                  <c:v>260.71428571428572</c:v>
                </c:pt>
                <c:pt idx="1826">
                  <c:v>260.85714285714283</c:v>
                </c:pt>
                <c:pt idx="1827">
                  <c:v>261</c:v>
                </c:pt>
                <c:pt idx="1828">
                  <c:v>261.14285714285717</c:v>
                </c:pt>
                <c:pt idx="1829">
                  <c:v>261.28571428571428</c:v>
                </c:pt>
                <c:pt idx="1830">
                  <c:v>261.42857142857144</c:v>
                </c:pt>
                <c:pt idx="1831">
                  <c:v>261.57142857142856</c:v>
                </c:pt>
                <c:pt idx="1832">
                  <c:v>261.71428571428572</c:v>
                </c:pt>
                <c:pt idx="1833">
                  <c:v>261.85714285714283</c:v>
                </c:pt>
                <c:pt idx="1834">
                  <c:v>262</c:v>
                </c:pt>
                <c:pt idx="1835">
                  <c:v>262.14285714285717</c:v>
                </c:pt>
                <c:pt idx="1836">
                  <c:v>262.28571428571428</c:v>
                </c:pt>
                <c:pt idx="1837">
                  <c:v>262.42857142857144</c:v>
                </c:pt>
                <c:pt idx="1838">
                  <c:v>262.57142857142856</c:v>
                </c:pt>
                <c:pt idx="1839">
                  <c:v>262.71428571428572</c:v>
                </c:pt>
                <c:pt idx="1840">
                  <c:v>262.85714285714283</c:v>
                </c:pt>
                <c:pt idx="1841">
                  <c:v>263</c:v>
                </c:pt>
                <c:pt idx="1842">
                  <c:v>263.14285714285717</c:v>
                </c:pt>
                <c:pt idx="1843">
                  <c:v>263.28571428571428</c:v>
                </c:pt>
                <c:pt idx="1844">
                  <c:v>263.42857142857144</c:v>
                </c:pt>
                <c:pt idx="1845">
                  <c:v>263.57142857142856</c:v>
                </c:pt>
                <c:pt idx="1846">
                  <c:v>263.71428571428572</c:v>
                </c:pt>
                <c:pt idx="1847">
                  <c:v>263.85714285714283</c:v>
                </c:pt>
                <c:pt idx="1848">
                  <c:v>264</c:v>
                </c:pt>
                <c:pt idx="1849">
                  <c:v>264.14285714285717</c:v>
                </c:pt>
                <c:pt idx="1850">
                  <c:v>264.28571428571428</c:v>
                </c:pt>
                <c:pt idx="1851">
                  <c:v>264.42857142857144</c:v>
                </c:pt>
                <c:pt idx="1852">
                  <c:v>264.57142857142856</c:v>
                </c:pt>
                <c:pt idx="1853">
                  <c:v>264.71428571428572</c:v>
                </c:pt>
                <c:pt idx="1854">
                  <c:v>264.85714285714283</c:v>
                </c:pt>
                <c:pt idx="1855">
                  <c:v>265</c:v>
                </c:pt>
                <c:pt idx="1856">
                  <c:v>265.14285714285717</c:v>
                </c:pt>
                <c:pt idx="1857">
                  <c:v>265.28571428571428</c:v>
                </c:pt>
                <c:pt idx="1858">
                  <c:v>265.42857142857144</c:v>
                </c:pt>
                <c:pt idx="1859">
                  <c:v>265.57142857142856</c:v>
                </c:pt>
                <c:pt idx="1860">
                  <c:v>265.71428571428572</c:v>
                </c:pt>
                <c:pt idx="1861">
                  <c:v>265.85714285714283</c:v>
                </c:pt>
                <c:pt idx="1862">
                  <c:v>266</c:v>
                </c:pt>
                <c:pt idx="1863">
                  <c:v>266.14285714285717</c:v>
                </c:pt>
                <c:pt idx="1864">
                  <c:v>266.28571428571428</c:v>
                </c:pt>
                <c:pt idx="1865">
                  <c:v>266.42857142857144</c:v>
                </c:pt>
                <c:pt idx="1866">
                  <c:v>266.57142857142856</c:v>
                </c:pt>
                <c:pt idx="1867">
                  <c:v>266.71428571428572</c:v>
                </c:pt>
                <c:pt idx="1868">
                  <c:v>266.85714285714283</c:v>
                </c:pt>
                <c:pt idx="1869">
                  <c:v>267</c:v>
                </c:pt>
                <c:pt idx="1870">
                  <c:v>267.14285714285717</c:v>
                </c:pt>
                <c:pt idx="1871">
                  <c:v>267.28571428571428</c:v>
                </c:pt>
                <c:pt idx="1872">
                  <c:v>267.42857142857144</c:v>
                </c:pt>
                <c:pt idx="1873">
                  <c:v>267.57142857142856</c:v>
                </c:pt>
                <c:pt idx="1874">
                  <c:v>267.71428571428572</c:v>
                </c:pt>
                <c:pt idx="1875">
                  <c:v>267.85714285714283</c:v>
                </c:pt>
                <c:pt idx="1876">
                  <c:v>268</c:v>
                </c:pt>
                <c:pt idx="1877">
                  <c:v>268.14285714285717</c:v>
                </c:pt>
                <c:pt idx="1878">
                  <c:v>268.28571428571428</c:v>
                </c:pt>
                <c:pt idx="1879">
                  <c:v>268.42857142857144</c:v>
                </c:pt>
                <c:pt idx="1880">
                  <c:v>268.57142857142856</c:v>
                </c:pt>
                <c:pt idx="1881">
                  <c:v>268.71428571428572</c:v>
                </c:pt>
                <c:pt idx="1882">
                  <c:v>268.85714285714283</c:v>
                </c:pt>
                <c:pt idx="1883">
                  <c:v>269</c:v>
                </c:pt>
                <c:pt idx="1884">
                  <c:v>269.14285714285717</c:v>
                </c:pt>
                <c:pt idx="1885">
                  <c:v>269.28571428571428</c:v>
                </c:pt>
                <c:pt idx="1886">
                  <c:v>269.42857142857144</c:v>
                </c:pt>
                <c:pt idx="1887">
                  <c:v>269.57142857142856</c:v>
                </c:pt>
                <c:pt idx="1888">
                  <c:v>269.71428571428572</c:v>
                </c:pt>
                <c:pt idx="1889">
                  <c:v>269.85714285714283</c:v>
                </c:pt>
                <c:pt idx="1890">
                  <c:v>270</c:v>
                </c:pt>
                <c:pt idx="1891">
                  <c:v>270.14285714285717</c:v>
                </c:pt>
                <c:pt idx="1892">
                  <c:v>270.28571428571428</c:v>
                </c:pt>
                <c:pt idx="1893">
                  <c:v>270.42857142857144</c:v>
                </c:pt>
                <c:pt idx="1894">
                  <c:v>270.57142857142856</c:v>
                </c:pt>
                <c:pt idx="1895">
                  <c:v>270.71428571428572</c:v>
                </c:pt>
                <c:pt idx="1896">
                  <c:v>270.85714285714283</c:v>
                </c:pt>
                <c:pt idx="1897">
                  <c:v>271</c:v>
                </c:pt>
                <c:pt idx="1898">
                  <c:v>271.14285714285717</c:v>
                </c:pt>
                <c:pt idx="1899">
                  <c:v>271.28571428571428</c:v>
                </c:pt>
                <c:pt idx="1900">
                  <c:v>271.42857142857144</c:v>
                </c:pt>
                <c:pt idx="1901">
                  <c:v>271.57142857142856</c:v>
                </c:pt>
                <c:pt idx="1902">
                  <c:v>271.71428571428572</c:v>
                </c:pt>
                <c:pt idx="1903">
                  <c:v>271.85714285714283</c:v>
                </c:pt>
                <c:pt idx="1904">
                  <c:v>272</c:v>
                </c:pt>
                <c:pt idx="1905">
                  <c:v>272.14285714285717</c:v>
                </c:pt>
                <c:pt idx="1906">
                  <c:v>272.28571428571428</c:v>
                </c:pt>
                <c:pt idx="1907">
                  <c:v>272.42857142857144</c:v>
                </c:pt>
                <c:pt idx="1908">
                  <c:v>272.57142857142856</c:v>
                </c:pt>
                <c:pt idx="1909">
                  <c:v>272.71428571428572</c:v>
                </c:pt>
                <c:pt idx="1910">
                  <c:v>272.85714285714283</c:v>
                </c:pt>
                <c:pt idx="1911">
                  <c:v>273</c:v>
                </c:pt>
                <c:pt idx="1912">
                  <c:v>273.14285714285717</c:v>
                </c:pt>
                <c:pt idx="1913">
                  <c:v>273.28571428571428</c:v>
                </c:pt>
                <c:pt idx="1914">
                  <c:v>273.42857142857144</c:v>
                </c:pt>
                <c:pt idx="1915">
                  <c:v>273.57142857142856</c:v>
                </c:pt>
                <c:pt idx="1916">
                  <c:v>273.71428571428572</c:v>
                </c:pt>
                <c:pt idx="1917">
                  <c:v>273.85714285714283</c:v>
                </c:pt>
                <c:pt idx="1918">
                  <c:v>274</c:v>
                </c:pt>
                <c:pt idx="1919">
                  <c:v>274.14285714285717</c:v>
                </c:pt>
                <c:pt idx="1920">
                  <c:v>274.28571428571428</c:v>
                </c:pt>
                <c:pt idx="1921">
                  <c:v>274.42857142857144</c:v>
                </c:pt>
                <c:pt idx="1922">
                  <c:v>274.57142857142856</c:v>
                </c:pt>
                <c:pt idx="1923">
                  <c:v>274.71428571428572</c:v>
                </c:pt>
                <c:pt idx="1924">
                  <c:v>274.85714285714283</c:v>
                </c:pt>
                <c:pt idx="1925">
                  <c:v>275</c:v>
                </c:pt>
                <c:pt idx="1926">
                  <c:v>275.14285714285717</c:v>
                </c:pt>
                <c:pt idx="1927">
                  <c:v>275.28571428571428</c:v>
                </c:pt>
                <c:pt idx="1928">
                  <c:v>275.42857142857144</c:v>
                </c:pt>
                <c:pt idx="1929">
                  <c:v>275.57142857142856</c:v>
                </c:pt>
                <c:pt idx="1930">
                  <c:v>275.71428571428572</c:v>
                </c:pt>
                <c:pt idx="1931">
                  <c:v>275.85714285714283</c:v>
                </c:pt>
                <c:pt idx="1932">
                  <c:v>276</c:v>
                </c:pt>
                <c:pt idx="1933">
                  <c:v>276.14285714285717</c:v>
                </c:pt>
                <c:pt idx="1934">
                  <c:v>276.28571428571428</c:v>
                </c:pt>
                <c:pt idx="1935">
                  <c:v>276.42857142857144</c:v>
                </c:pt>
                <c:pt idx="1936">
                  <c:v>276.57142857142856</c:v>
                </c:pt>
                <c:pt idx="1937">
                  <c:v>276.71428571428572</c:v>
                </c:pt>
                <c:pt idx="1938">
                  <c:v>276.85714285714283</c:v>
                </c:pt>
                <c:pt idx="1939">
                  <c:v>277</c:v>
                </c:pt>
                <c:pt idx="1940">
                  <c:v>277.14285714285717</c:v>
                </c:pt>
                <c:pt idx="1941">
                  <c:v>277.28571428571428</c:v>
                </c:pt>
                <c:pt idx="1942">
                  <c:v>277.42857142857144</c:v>
                </c:pt>
                <c:pt idx="1943">
                  <c:v>277.57142857142856</c:v>
                </c:pt>
                <c:pt idx="1944">
                  <c:v>277.71428571428572</c:v>
                </c:pt>
                <c:pt idx="1945">
                  <c:v>277.85714285714283</c:v>
                </c:pt>
                <c:pt idx="1946">
                  <c:v>278</c:v>
                </c:pt>
                <c:pt idx="1947">
                  <c:v>278.14285714285717</c:v>
                </c:pt>
                <c:pt idx="1948">
                  <c:v>278.28571428571428</c:v>
                </c:pt>
                <c:pt idx="1949">
                  <c:v>278.42857142857144</c:v>
                </c:pt>
                <c:pt idx="1950">
                  <c:v>278.57142857142856</c:v>
                </c:pt>
                <c:pt idx="1951">
                  <c:v>278.71428571428572</c:v>
                </c:pt>
                <c:pt idx="1952">
                  <c:v>278.85714285714283</c:v>
                </c:pt>
                <c:pt idx="1953">
                  <c:v>279</c:v>
                </c:pt>
                <c:pt idx="1954">
                  <c:v>279.14285714285717</c:v>
                </c:pt>
                <c:pt idx="1955">
                  <c:v>279.28571428571428</c:v>
                </c:pt>
                <c:pt idx="1956">
                  <c:v>279.42857142857144</c:v>
                </c:pt>
                <c:pt idx="1957">
                  <c:v>279.57142857142856</c:v>
                </c:pt>
                <c:pt idx="1958">
                  <c:v>279.71428571428572</c:v>
                </c:pt>
                <c:pt idx="1959">
                  <c:v>279.85714285714283</c:v>
                </c:pt>
                <c:pt idx="1960">
                  <c:v>280</c:v>
                </c:pt>
                <c:pt idx="1961">
                  <c:v>280.14285714285717</c:v>
                </c:pt>
                <c:pt idx="1962">
                  <c:v>280.28571428571428</c:v>
                </c:pt>
                <c:pt idx="1963">
                  <c:v>280.42857142857144</c:v>
                </c:pt>
                <c:pt idx="1964">
                  <c:v>280.57142857142856</c:v>
                </c:pt>
                <c:pt idx="1965">
                  <c:v>280.71428571428572</c:v>
                </c:pt>
                <c:pt idx="1966">
                  <c:v>280.85714285714283</c:v>
                </c:pt>
                <c:pt idx="1967">
                  <c:v>281</c:v>
                </c:pt>
                <c:pt idx="1968">
                  <c:v>281.14285714285717</c:v>
                </c:pt>
                <c:pt idx="1969">
                  <c:v>281.28571428571428</c:v>
                </c:pt>
                <c:pt idx="1970">
                  <c:v>281.42857142857144</c:v>
                </c:pt>
                <c:pt idx="1971">
                  <c:v>281.57142857142856</c:v>
                </c:pt>
                <c:pt idx="1972">
                  <c:v>281.71428571428572</c:v>
                </c:pt>
                <c:pt idx="1973">
                  <c:v>281.85714285714283</c:v>
                </c:pt>
                <c:pt idx="1974">
                  <c:v>282</c:v>
                </c:pt>
                <c:pt idx="1975">
                  <c:v>282.14285714285717</c:v>
                </c:pt>
                <c:pt idx="1976">
                  <c:v>282.28571428571428</c:v>
                </c:pt>
                <c:pt idx="1977">
                  <c:v>282.42857142857144</c:v>
                </c:pt>
                <c:pt idx="1978">
                  <c:v>282.57142857142856</c:v>
                </c:pt>
                <c:pt idx="1979">
                  <c:v>282.71428571428572</c:v>
                </c:pt>
                <c:pt idx="1980">
                  <c:v>282.85714285714283</c:v>
                </c:pt>
                <c:pt idx="1981">
                  <c:v>283</c:v>
                </c:pt>
                <c:pt idx="1982">
                  <c:v>283.14285714285717</c:v>
                </c:pt>
                <c:pt idx="1983">
                  <c:v>283.28571428571428</c:v>
                </c:pt>
                <c:pt idx="1984">
                  <c:v>283.42857142857144</c:v>
                </c:pt>
                <c:pt idx="1985">
                  <c:v>283.57142857142856</c:v>
                </c:pt>
                <c:pt idx="1986">
                  <c:v>283.71428571428572</c:v>
                </c:pt>
                <c:pt idx="1987">
                  <c:v>283.85714285714283</c:v>
                </c:pt>
                <c:pt idx="1988">
                  <c:v>284</c:v>
                </c:pt>
                <c:pt idx="1989">
                  <c:v>284.14285714285717</c:v>
                </c:pt>
                <c:pt idx="1990">
                  <c:v>284.28571428571428</c:v>
                </c:pt>
                <c:pt idx="1991">
                  <c:v>284.42857142857144</c:v>
                </c:pt>
                <c:pt idx="1992">
                  <c:v>284.57142857142856</c:v>
                </c:pt>
                <c:pt idx="1993">
                  <c:v>284.71428571428572</c:v>
                </c:pt>
                <c:pt idx="1994">
                  <c:v>284.85714285714283</c:v>
                </c:pt>
                <c:pt idx="1995">
                  <c:v>285</c:v>
                </c:pt>
                <c:pt idx="1996">
                  <c:v>285.14285714285717</c:v>
                </c:pt>
                <c:pt idx="1997">
                  <c:v>285.28571428571428</c:v>
                </c:pt>
                <c:pt idx="1998">
                  <c:v>285.42857142857144</c:v>
                </c:pt>
                <c:pt idx="1999">
                  <c:v>285.57142857142856</c:v>
                </c:pt>
                <c:pt idx="2000">
                  <c:v>285.71428571428572</c:v>
                </c:pt>
              </c:numCache>
            </c:numRef>
          </c:cat>
          <c:val>
            <c:numRef>
              <c:f>'t Total'!$D$5:$D$2006</c:f>
              <c:numCache>
                <c:formatCode>0</c:formatCode>
                <c:ptCount val="2002"/>
                <c:pt idx="1">
                  <c:v>0</c:v>
                </c:pt>
                <c:pt idx="2">
                  <c:v>14222.605966366944</c:v>
                </c:pt>
                <c:pt idx="3">
                  <c:v>60842.901651108245</c:v>
                </c:pt>
                <c:pt idx="4">
                  <c:v>95633.49727166658</c:v>
                </c:pt>
                <c:pt idx="5">
                  <c:v>115513.08080112538</c:v>
                </c:pt>
                <c:pt idx="6">
                  <c:v>125656.53071995039</c:v>
                </c:pt>
                <c:pt idx="7">
                  <c:v>129791.87928363174</c:v>
                </c:pt>
                <c:pt idx="8">
                  <c:v>130238.62124810112</c:v>
                </c:pt>
                <c:pt idx="9">
                  <c:v>128426.2624200593</c:v>
                </c:pt>
                <c:pt idx="10">
                  <c:v>125247.22383241123</c:v>
                </c:pt>
                <c:pt idx="11">
                  <c:v>121267.23970807926</c:v>
                </c:pt>
                <c:pt idx="12">
                  <c:v>116849.50228142203</c:v>
                </c:pt>
                <c:pt idx="13">
                  <c:v>112229.07086833264</c:v>
                </c:pt>
                <c:pt idx="14">
                  <c:v>107558.44613816426</c:v>
                </c:pt>
                <c:pt idx="15">
                  <c:v>102936.09956555371</c:v>
                </c:pt>
                <c:pt idx="16">
                  <c:v>98424.697021379834</c:v>
                </c:pt>
                <c:pt idx="17">
                  <c:v>94062.950733561069</c:v>
                </c:pt>
                <c:pt idx="18">
                  <c:v>89873.449401949998</c:v>
                </c:pt>
                <c:pt idx="19">
                  <c:v>85867.901383468416</c:v>
                </c:pt>
                <c:pt idx="20">
                  <c:v>82050.68554583448</c:v>
                </c:pt>
                <c:pt idx="21">
                  <c:v>78421.278245325899</c:v>
                </c:pt>
                <c:pt idx="22">
                  <c:v>74975.923954790924</c:v>
                </c:pt>
                <c:pt idx="23">
                  <c:v>71708.790917598875</c:v>
                </c:pt>
                <c:pt idx="24">
                  <c:v>68612.77261400409</c:v>
                </c:pt>
                <c:pt idx="25">
                  <c:v>65680.043518060818</c:v>
                </c:pt>
                <c:pt idx="26">
                  <c:v>62902.44317425089</c:v>
                </c:pt>
                <c:pt idx="27">
                  <c:v>60271.739632776007</c:v>
                </c:pt>
                <c:pt idx="28">
                  <c:v>57779.807752599008</c:v>
                </c:pt>
                <c:pt idx="29">
                  <c:v>55418.747274791822</c:v>
                </c:pt>
                <c:pt idx="30">
                  <c:v>53180.958251482807</c:v>
                </c:pt>
                <c:pt idx="31">
                  <c:v>51059.186321848538</c:v>
                </c:pt>
                <c:pt idx="32">
                  <c:v>49046.546751010232</c:v>
                </c:pt>
                <c:pt idx="33">
                  <c:v>47136.533619458321</c:v>
                </c:pt>
                <c:pt idx="34">
                  <c:v>45323.018751055002</c:v>
                </c:pt>
                <c:pt idx="35">
                  <c:v>43600.243679348379</c:v>
                </c:pt>
                <c:pt idx="36">
                  <c:v>41962.807024957146</c:v>
                </c:pt>
                <c:pt idx="37">
                  <c:v>40405.648987092543</c:v>
                </c:pt>
                <c:pt idx="38">
                  <c:v>38924.034166601487</c:v>
                </c:pt>
                <c:pt idx="39">
                  <c:v>37513.533585103694</c:v>
                </c:pt>
                <c:pt idx="40">
                  <c:v>36170.006507731974</c:v>
                </c:pt>
                <c:pt idx="41">
                  <c:v>34889.58248993801</c:v>
                </c:pt>
                <c:pt idx="42">
                  <c:v>33668.643932511099</c:v>
                </c:pt>
                <c:pt idx="43">
                  <c:v>32503.809330053627</c:v>
                </c:pt>
                <c:pt idx="44">
                  <c:v>31391.917326535098</c:v>
                </c:pt>
                <c:pt idx="45">
                  <c:v>30330.011640006676</c:v>
                </c:pt>
                <c:pt idx="46">
                  <c:v>29315.326881933492</c:v>
                </c:pt>
                <c:pt idx="47">
                  <c:v>28345.275270702317</c:v>
                </c:pt>
                <c:pt idx="48">
                  <c:v>27417.434221086558</c:v>
                </c:pt>
                <c:pt idx="49">
                  <c:v>26529.534779523034</c:v>
                </c:pt>
                <c:pt idx="50">
                  <c:v>25679.450867342297</c:v>
                </c:pt>
                <c:pt idx="51">
                  <c:v>24865.189289674629</c:v>
                </c:pt>
                <c:pt idx="52">
                  <c:v>24084.880465333816</c:v>
                </c:pt>
                <c:pt idx="53">
                  <c:v>23336.769832457416</c:v>
                </c:pt>
                <c:pt idx="54">
                  <c:v>22619.209885009099</c:v>
                </c:pt>
                <c:pt idx="55">
                  <c:v>21930.652796581853</c:v>
                </c:pt>
                <c:pt idx="56">
                  <c:v>21269.643589568324</c:v>
                </c:pt>
                <c:pt idx="57">
                  <c:v>20634.813809954561</c:v>
                </c:pt>
                <c:pt idx="58">
                  <c:v>20024.875670098234</c:v>
                </c:pt>
                <c:pt idx="59">
                  <c:v>19438.616624267306</c:v>
                </c:pt>
                <c:pt idx="60">
                  <c:v>18874.894343998749</c:v>
                </c:pt>
                <c:pt idx="61">
                  <c:v>18332.632062602323</c:v>
                </c:pt>
                <c:pt idx="62">
                  <c:v>17810.814260423183</c:v>
                </c:pt>
                <c:pt idx="63">
                  <c:v>17308.482664435636</c:v>
                </c:pt>
                <c:pt idx="64">
                  <c:v>16824.732537913136</c:v>
                </c:pt>
                <c:pt idx="65">
                  <c:v>16358.709237657487</c:v>
                </c:pt>
                <c:pt idx="66">
                  <c:v>15909.605018086266</c:v>
                </c:pt>
                <c:pt idx="67">
                  <c:v>15476.656063102651</c:v>
                </c:pt>
                <c:pt idx="68">
                  <c:v>15059.139728203416</c:v>
                </c:pt>
                <c:pt idx="69">
                  <c:v>14656.371976631694</c:v>
                </c:pt>
                <c:pt idx="70">
                  <c:v>14267.704994748347</c:v>
                </c:pt>
                <c:pt idx="71">
                  <c:v>13892.524972937535</c:v>
                </c:pt>
                <c:pt idx="72">
                  <c:v>13530.250039483421</c:v>
                </c:pt>
                <c:pt idx="73">
                  <c:v>13180.328335864004</c:v>
                </c:pt>
                <c:pt idx="74">
                  <c:v>12842.236222827341</c:v>
                </c:pt>
                <c:pt idx="75">
                  <c:v>12515.476607494522</c:v>
                </c:pt>
                <c:pt idx="76">
                  <c:v>12199.577382463031</c:v>
                </c:pt>
                <c:pt idx="77">
                  <c:v>11894.089968685992</c:v>
                </c:pt>
                <c:pt idx="78">
                  <c:v>11598.58795445133</c:v>
                </c:pt>
                <c:pt idx="79">
                  <c:v>11312.665823500138</c:v>
                </c:pt>
                <c:pt idx="80">
                  <c:v>11035.937765795738</c:v>
                </c:pt>
                <c:pt idx="81">
                  <c:v>10768.036564987618</c:v>
                </c:pt>
                <c:pt idx="82">
                  <c:v>10508.612557114568</c:v>
                </c:pt>
                <c:pt idx="83">
                  <c:v>10257.332655431703</c:v>
                </c:pt>
                <c:pt idx="84">
                  <c:v>10013.879436758347</c:v>
                </c:pt>
                <c:pt idx="85">
                  <c:v>9777.9502849718556</c:v>
                </c:pt>
                <c:pt idx="86">
                  <c:v>9549.2565877195448</c:v>
                </c:pt>
                <c:pt idx="87">
                  <c:v>9327.5229826229624</c:v>
                </c:pt>
                <c:pt idx="88">
                  <c:v>9112.4866496305913</c:v>
                </c:pt>
                <c:pt idx="89">
                  <c:v>8903.8966463049874</c:v>
                </c:pt>
                <c:pt idx="90">
                  <c:v>8701.5132832038216</c:v>
                </c:pt>
                <c:pt idx="91">
                  <c:v>8505.1075366172008</c:v>
                </c:pt>
                <c:pt idx="92">
                  <c:v>8314.4604961657897</c:v>
                </c:pt>
                <c:pt idx="93">
                  <c:v>8129.3628449821845</c:v>
                </c:pt>
                <c:pt idx="94">
                  <c:v>7949.6143702939153</c:v>
                </c:pt>
                <c:pt idx="95">
                  <c:v>7775.0235024360009</c:v>
                </c:pt>
                <c:pt idx="96">
                  <c:v>7605.4068804527633</c:v>
                </c:pt>
                <c:pt idx="97">
                  <c:v>7440.5889425571077</c:v>
                </c:pt>
                <c:pt idx="98">
                  <c:v>7280.4015398770571</c:v>
                </c:pt>
                <c:pt idx="99">
                  <c:v>7124.6835719859228</c:v>
                </c:pt>
                <c:pt idx="100">
                  <c:v>6973.280642863363</c:v>
                </c:pt>
                <c:pt idx="101">
                  <c:v>6826.0447359881364</c:v>
                </c:pt>
                <c:pt idx="102">
                  <c:v>6682.8339073769748</c:v>
                </c:pt>
                <c:pt idx="103">
                  <c:v>6543.511995465029</c:v>
                </c:pt>
                <c:pt idx="104">
                  <c:v>6407.9483467866667</c:v>
                </c:pt>
                <c:pt idx="105">
                  <c:v>6276.0175564838573</c:v>
                </c:pt>
                <c:pt idx="106">
                  <c:v>6147.59922277648</c:v>
                </c:pt>
                <c:pt idx="107">
                  <c:v>6022.5777145046741</c:v>
                </c:pt>
                <c:pt idx="108">
                  <c:v>5900.8419510102831</c:v>
                </c:pt>
                <c:pt idx="109">
                  <c:v>5782.2851935825311</c:v>
                </c:pt>
                <c:pt idx="110">
                  <c:v>5666.8048478229903</c:v>
                </c:pt>
                <c:pt idx="111">
                  <c:v>5554.3022762620822</c:v>
                </c:pt>
                <c:pt idx="112">
                  <c:v>5444.6826206399128</c:v>
                </c:pt>
                <c:pt idx="113">
                  <c:v>5337.8546332940459</c:v>
                </c:pt>
                <c:pt idx="114">
                  <c:v>5233.7305171377957</c:v>
                </c:pt>
                <c:pt idx="115">
                  <c:v>5132.2257737070322</c:v>
                </c:pt>
                <c:pt idx="116">
                  <c:v>5033.2590588717721</c:v>
                </c:pt>
                <c:pt idx="117">
                  <c:v>4936.7520457240753</c:v>
                </c:pt>
                <c:pt idx="118">
                  <c:v>4842.6292942757718</c:v>
                </c:pt>
                <c:pt idx="119">
                  <c:v>4750.8181275762618</c:v>
                </c:pt>
                <c:pt idx="120">
                  <c:v>4661.2485138969496</c:v>
                </c:pt>
                <c:pt idx="121">
                  <c:v>4573.8529546456411</c:v>
                </c:pt>
                <c:pt idx="122">
                  <c:v>4488.5663777007721</c:v>
                </c:pt>
                <c:pt idx="123">
                  <c:v>4405.3260358693078</c:v>
                </c:pt>
                <c:pt idx="124">
                  <c:v>4324.0714101963677</c:v>
                </c:pt>
                <c:pt idx="125">
                  <c:v>4244.7441178639419</c:v>
                </c:pt>
                <c:pt idx="126">
                  <c:v>4167.2878244244494</c:v>
                </c:pt>
                <c:pt idx="127">
                  <c:v>4091.6481601642445</c:v>
                </c:pt>
                <c:pt idx="128">
                  <c:v>4017.7726403512061</c:v>
                </c:pt>
                <c:pt idx="129">
                  <c:v>3945.6105891820043</c:v>
                </c:pt>
                <c:pt idx="130">
                  <c:v>3875.1130672264844</c:v>
                </c:pt>
                <c:pt idx="131">
                  <c:v>3806.2328022005968</c:v>
                </c:pt>
                <c:pt idx="132">
                  <c:v>3738.9241228806786</c:v>
                </c:pt>
                <c:pt idx="133">
                  <c:v>3673.1428960100748</c:v>
                </c:pt>
                <c:pt idx="134">
                  <c:v>3608.8464660448954</c:v>
                </c:pt>
                <c:pt idx="135">
                  <c:v>3545.9935975866392</c:v>
                </c:pt>
                <c:pt idx="136">
                  <c:v>3484.5444203838706</c:v>
                </c:pt>
                <c:pt idx="137">
                  <c:v>3424.4603767530061</c:v>
                </c:pt>
                <c:pt idx="138">
                  <c:v>3365.7041713166982</c:v>
                </c:pt>
                <c:pt idx="139">
                  <c:v>3308.2397229396738</c:v>
                </c:pt>
                <c:pt idx="140">
                  <c:v>3252.0321187446825</c:v>
                </c:pt>
                <c:pt idx="141">
                  <c:v>3197.0475701228715</c:v>
                </c:pt>
                <c:pt idx="142">
                  <c:v>3143.2533706277609</c:v>
                </c:pt>
                <c:pt idx="143">
                  <c:v>3090.6178556769155</c:v>
                </c:pt>
                <c:pt idx="144">
                  <c:v>3039.1103639542125</c:v>
                </c:pt>
                <c:pt idx="145">
                  <c:v>2988.7012004544958</c:v>
                </c:pt>
                <c:pt idx="146">
                  <c:v>2939.3616010714322</c:v>
                </c:pt>
                <c:pt idx="147">
                  <c:v>2891.0636986717582</c:v>
                </c:pt>
                <c:pt idx="148">
                  <c:v>2843.7804905809462</c:v>
                </c:pt>
                <c:pt idx="149">
                  <c:v>2797.4858074085787</c:v>
                </c:pt>
                <c:pt idx="150">
                  <c:v>2752.1542831556872</c:v>
                </c:pt>
                <c:pt idx="151">
                  <c:v>2707.7613265533</c:v>
                </c:pt>
                <c:pt idx="152">
                  <c:v>2664.2830935558304</c:v>
                </c:pt>
                <c:pt idx="153">
                  <c:v>2621.6964609585702</c:v>
                </c:pt>
                <c:pt idx="154">
                  <c:v>2579.9790010722354</c:v>
                </c:pt>
                <c:pt idx="155">
                  <c:v>2539.1089574126527</c:v>
                </c:pt>
                <c:pt idx="156">
                  <c:v>2499.065221356228</c:v>
                </c:pt>
                <c:pt idx="157">
                  <c:v>2459.8273097360507</c:v>
                </c:pt>
                <c:pt idx="158">
                  <c:v>2421.3753432948142</c:v>
                </c:pt>
                <c:pt idx="159">
                  <c:v>2383.6900260187685</c:v>
                </c:pt>
                <c:pt idx="160">
                  <c:v>2346.752625240013</c:v>
                </c:pt>
                <c:pt idx="161">
                  <c:v>2310.5449525462463</c:v>
                </c:pt>
                <c:pt idx="162">
                  <c:v>2275.0493454094976</c:v>
                </c:pt>
                <c:pt idx="163">
                  <c:v>2240.2486495235935</c:v>
                </c:pt>
                <c:pt idx="164">
                  <c:v>2206.1262018261477</c:v>
                </c:pt>
                <c:pt idx="165">
                  <c:v>2172.6658141547814</c:v>
                </c:pt>
                <c:pt idx="166">
                  <c:v>2139.8517575385049</c:v>
                </c:pt>
                <c:pt idx="167">
                  <c:v>2107.6687470711768</c:v>
                </c:pt>
                <c:pt idx="168">
                  <c:v>2076.1019273446873</c:v>
                </c:pt>
                <c:pt idx="169">
                  <c:v>2045.1368584521115</c:v>
                </c:pt>
                <c:pt idx="170">
                  <c:v>2014.7595024928451</c:v>
                </c:pt>
                <c:pt idx="171">
                  <c:v>1984.9562105676159</c:v>
                </c:pt>
                <c:pt idx="172">
                  <c:v>1955.7137102819979</c:v>
                </c:pt>
                <c:pt idx="173">
                  <c:v>1927.0190936839208</c:v>
                </c:pt>
                <c:pt idx="174">
                  <c:v>1898.8598056500778</c:v>
                </c:pt>
                <c:pt idx="175">
                  <c:v>1871.2236326877028</c:v>
                </c:pt>
                <c:pt idx="176">
                  <c:v>1844.0986921591684</c:v>
                </c:pt>
                <c:pt idx="177">
                  <c:v>1817.4734218688682</c:v>
                </c:pt>
                <c:pt idx="178">
                  <c:v>1791.3365700440481</c:v>
                </c:pt>
                <c:pt idx="179">
                  <c:v>1765.6771856583655</c:v>
                </c:pt>
                <c:pt idx="180">
                  <c:v>1740.4846091149375</c:v>
                </c:pt>
                <c:pt idx="181">
                  <c:v>1715.7484632357955</c:v>
                </c:pt>
                <c:pt idx="182">
                  <c:v>1691.4586445968598</c:v>
                </c:pt>
                <c:pt idx="183">
                  <c:v>1667.6053151339293</c:v>
                </c:pt>
                <c:pt idx="184">
                  <c:v>1644.178894075565</c:v>
                </c:pt>
                <c:pt idx="185">
                  <c:v>1621.1700501255691</c:v>
                </c:pt>
                <c:pt idx="186">
                  <c:v>1598.5696939351037</c:v>
                </c:pt>
                <c:pt idx="187">
                  <c:v>1576.3689708271995</c:v>
                </c:pt>
                <c:pt idx="188">
                  <c:v>1554.5592537680641</c:v>
                </c:pt>
                <c:pt idx="189">
                  <c:v>1533.1321365833282</c:v>
                </c:pt>
                <c:pt idx="190">
                  <c:v>1512.0794274006039</c:v>
                </c:pt>
                <c:pt idx="191">
                  <c:v>1491.3931423146278</c:v>
                </c:pt>
                <c:pt idx="192">
                  <c:v>1471.0654992712662</c:v>
                </c:pt>
                <c:pt idx="193">
                  <c:v>1451.0889121443033</c:v>
                </c:pt>
                <c:pt idx="194">
                  <c:v>1431.4559850180522</c:v>
                </c:pt>
                <c:pt idx="195">
                  <c:v>1412.1595066683367</c:v>
                </c:pt>
                <c:pt idx="196">
                  <c:v>1393.1924452036619</c:v>
                </c:pt>
                <c:pt idx="197">
                  <c:v>1374.5479429038242</c:v>
                </c:pt>
                <c:pt idx="198">
                  <c:v>1356.2193112233654</c:v>
                </c:pt>
                <c:pt idx="199">
                  <c:v>1338.2000259421766</c:v>
                </c:pt>
                <c:pt idx="200">
                  <c:v>1320.4837225042284</c:v>
                </c:pt>
                <c:pt idx="201">
                  <c:v>1303.0641914764419</c:v>
                </c:pt>
                <c:pt idx="202">
                  <c:v>1285.9353741751984</c:v>
                </c:pt>
                <c:pt idx="203">
                  <c:v>1269.091358423233</c:v>
                </c:pt>
                <c:pt idx="204">
                  <c:v>1252.5263744452968</c:v>
                </c:pt>
                <c:pt idx="205">
                  <c:v>1236.2347908979282</c:v>
                </c:pt>
                <c:pt idx="206">
                  <c:v>1220.2111110175028</c:v>
                </c:pt>
                <c:pt idx="207">
                  <c:v>1204.4499688986689</c:v>
                </c:pt>
                <c:pt idx="208">
                  <c:v>1188.9461258808151</c:v>
                </c:pt>
                <c:pt idx="209">
                  <c:v>1173.6944670621306</c:v>
                </c:pt>
                <c:pt idx="210">
                  <c:v>1158.6899979040027</c:v>
                </c:pt>
                <c:pt idx="211">
                  <c:v>1143.9278409592807</c:v>
                </c:pt>
                <c:pt idx="212">
                  <c:v>1129.4032326852903</c:v>
                </c:pt>
                <c:pt idx="213">
                  <c:v>1115.1115203713998</c:v>
                </c:pt>
                <c:pt idx="214">
                  <c:v>1101.0481591476128</c:v>
                </c:pt>
                <c:pt idx="215">
                  <c:v>1087.2087090946734</c:v>
                </c:pt>
                <c:pt idx="216">
                  <c:v>1073.5888324361295</c:v>
                </c:pt>
                <c:pt idx="217">
                  <c:v>1060.1842908188701</c:v>
                </c:pt>
                <c:pt idx="218">
                  <c:v>1046.9909426737577</c:v>
                </c:pt>
                <c:pt idx="219">
                  <c:v>1034.0047406582162</c:v>
                </c:pt>
                <c:pt idx="220">
                  <c:v>1021.2217291751876</c:v>
                </c:pt>
                <c:pt idx="221">
                  <c:v>1008.6380419684574</c:v>
                </c:pt>
                <c:pt idx="222">
                  <c:v>996.24989978224039</c:v>
                </c:pt>
                <c:pt idx="223">
                  <c:v>984.05360809806734</c:v>
                </c:pt>
                <c:pt idx="224">
                  <c:v>972.04555493872613</c:v>
                </c:pt>
                <c:pt idx="225">
                  <c:v>960.22220872808248</c:v>
                </c:pt>
                <c:pt idx="226">
                  <c:v>948.58011623099446</c:v>
                </c:pt>
                <c:pt idx="227">
                  <c:v>937.11590052582324</c:v>
                </c:pt>
                <c:pt idx="228">
                  <c:v>925.82625907287002</c:v>
                </c:pt>
                <c:pt idx="229">
                  <c:v>914.70796180516481</c:v>
                </c:pt>
                <c:pt idx="230">
                  <c:v>903.75784929003567</c:v>
                </c:pt>
                <c:pt idx="231">
                  <c:v>892.97283095121384</c:v>
                </c:pt>
                <c:pt idx="232">
                  <c:v>882.34988332353532</c:v>
                </c:pt>
                <c:pt idx="233">
                  <c:v>871.8860483719036</c:v>
                </c:pt>
                <c:pt idx="234">
                  <c:v>861.57843185029924</c:v>
                </c:pt>
                <c:pt idx="235">
                  <c:v>851.4242017166689</c:v>
                </c:pt>
                <c:pt idx="236">
                  <c:v>841.42058658134192</c:v>
                </c:pt>
                <c:pt idx="237">
                  <c:v>831.56487420853227</c:v>
                </c:pt>
                <c:pt idx="238">
                  <c:v>821.85441005416214</c:v>
                </c:pt>
                <c:pt idx="239">
                  <c:v>812.286595845595</c:v>
                </c:pt>
                <c:pt idx="240">
                  <c:v>802.8588882079348</c:v>
                </c:pt>
                <c:pt idx="241">
                  <c:v>793.56879731826484</c:v>
                </c:pt>
                <c:pt idx="242">
                  <c:v>784.41388560179621</c:v>
                </c:pt>
                <c:pt idx="243">
                  <c:v>775.39176646899432</c:v>
                </c:pt>
                <c:pt idx="244">
                  <c:v>766.50010307785124</c:v>
                </c:pt>
                <c:pt idx="245">
                  <c:v>757.73660713806748</c:v>
                </c:pt>
                <c:pt idx="246">
                  <c:v>749.09903774410486</c:v>
                </c:pt>
                <c:pt idx="247">
                  <c:v>740.58520023990422</c:v>
                </c:pt>
                <c:pt idx="248">
                  <c:v>732.19294512085617</c:v>
                </c:pt>
                <c:pt idx="249">
                  <c:v>723.92016695253551</c:v>
                </c:pt>
                <c:pt idx="250">
                  <c:v>715.76480333413929</c:v>
                </c:pt>
                <c:pt idx="251">
                  <c:v>707.72483387496322</c:v>
                </c:pt>
                <c:pt idx="252">
                  <c:v>699.79827921278775</c:v>
                </c:pt>
                <c:pt idx="253">
                  <c:v>691.98320004623383</c:v>
                </c:pt>
                <c:pt idx="254">
                  <c:v>684.27769619785249</c:v>
                </c:pt>
                <c:pt idx="255">
                  <c:v>676.67990570515394</c:v>
                </c:pt>
                <c:pt idx="256">
                  <c:v>669.18800393398851</c:v>
                </c:pt>
                <c:pt idx="257">
                  <c:v>661.80020270682871</c:v>
                </c:pt>
                <c:pt idx="258">
                  <c:v>654.51474946830422</c:v>
                </c:pt>
                <c:pt idx="259">
                  <c:v>647.32992646377534</c:v>
                </c:pt>
                <c:pt idx="260">
                  <c:v>640.24404994118959</c:v>
                </c:pt>
                <c:pt idx="261">
                  <c:v>633.25546937063336</c:v>
                </c:pt>
                <c:pt idx="262">
                  <c:v>626.36256668996066</c:v>
                </c:pt>
                <c:pt idx="263">
                  <c:v>619.56375557091087</c:v>
                </c:pt>
                <c:pt idx="264">
                  <c:v>612.8574806926772</c:v>
                </c:pt>
                <c:pt idx="265">
                  <c:v>606.24221704714</c:v>
                </c:pt>
                <c:pt idx="266">
                  <c:v>599.71646925527602</c:v>
                </c:pt>
                <c:pt idx="267">
                  <c:v>593.27877090405673</c:v>
                </c:pt>
                <c:pt idx="268">
                  <c:v>586.92768389545381</c:v>
                </c:pt>
                <c:pt idx="269">
                  <c:v>580.66179781593382</c:v>
                </c:pt>
                <c:pt idx="270">
                  <c:v>574.47972932737321</c:v>
                </c:pt>
                <c:pt idx="271">
                  <c:v>568.38012155797333</c:v>
                </c:pt>
                <c:pt idx="272">
                  <c:v>562.36164351925254</c:v>
                </c:pt>
                <c:pt idx="273">
                  <c:v>556.42298954632133</c:v>
                </c:pt>
                <c:pt idx="274">
                  <c:v>550.56287872698158</c:v>
                </c:pt>
                <c:pt idx="275">
                  <c:v>544.780054371804</c:v>
                </c:pt>
                <c:pt idx="276">
                  <c:v>539.0732834758237</c:v>
                </c:pt>
                <c:pt idx="277">
                  <c:v>533.44135621376336</c:v>
                </c:pt>
                <c:pt idx="278">
                  <c:v>527.88308543059975</c:v>
                </c:pt>
                <c:pt idx="279">
                  <c:v>522.39730614796281</c:v>
                </c:pt>
                <c:pt idx="280">
                  <c:v>516.98287509847432</c:v>
                </c:pt>
                <c:pt idx="281">
                  <c:v>511.63867024425417</c:v>
                </c:pt>
                <c:pt idx="282">
                  <c:v>506.36359033267945</c:v>
                </c:pt>
                <c:pt idx="283">
                  <c:v>501.156554447487</c:v>
                </c:pt>
                <c:pt idx="284">
                  <c:v>496.01650157477707</c:v>
                </c:pt>
                <c:pt idx="285">
                  <c:v>490.9423901848495</c:v>
                </c:pt>
                <c:pt idx="286">
                  <c:v>485.93319781683385</c:v>
                </c:pt>
                <c:pt idx="287">
                  <c:v>480.98792067077011</c:v>
                </c:pt>
                <c:pt idx="288">
                  <c:v>476.10557322390378</c:v>
                </c:pt>
                <c:pt idx="289">
                  <c:v>471.28518784232438</c:v>
                </c:pt>
                <c:pt idx="290">
                  <c:v>466.52581440657377</c:v>
                </c:pt>
                <c:pt idx="291">
                  <c:v>461.8265199419111</c:v>
                </c:pt>
                <c:pt idx="292">
                  <c:v>457.1863882727921</c:v>
                </c:pt>
                <c:pt idx="293">
                  <c:v>452.60451966244727</c:v>
                </c:pt>
                <c:pt idx="294">
                  <c:v>448.08003047760576</c:v>
                </c:pt>
                <c:pt idx="295">
                  <c:v>443.61205285601318</c:v>
                </c:pt>
                <c:pt idx="296">
                  <c:v>439.19973438419402</c:v>
                </c:pt>
                <c:pt idx="297">
                  <c:v>434.84223777335137</c:v>
                </c:pt>
                <c:pt idx="298">
                  <c:v>430.53874055854976</c:v>
                </c:pt>
                <c:pt idx="299">
                  <c:v>426.28843479044735</c:v>
                </c:pt>
                <c:pt idx="300">
                  <c:v>422.09052673820406</c:v>
                </c:pt>
                <c:pt idx="301">
                  <c:v>417.94423661194742</c:v>
                </c:pt>
                <c:pt idx="302">
                  <c:v>413.84879826661199</c:v>
                </c:pt>
                <c:pt idx="303">
                  <c:v>409.8034589337185</c:v>
                </c:pt>
                <c:pt idx="304">
                  <c:v>405.80747895408422</c:v>
                </c:pt>
                <c:pt idx="305">
                  <c:v>401.86013150867075</c:v>
                </c:pt>
                <c:pt idx="306">
                  <c:v>397.96070236992091</c:v>
                </c:pt>
                <c:pt idx="307">
                  <c:v>394.10848963912576</c:v>
                </c:pt>
                <c:pt idx="308">
                  <c:v>390.30280351452529</c:v>
                </c:pt>
                <c:pt idx="309">
                  <c:v>386.54296603705734</c:v>
                </c:pt>
                <c:pt idx="310">
                  <c:v>382.82831086870283</c:v>
                </c:pt>
                <c:pt idx="311">
                  <c:v>379.15818305406719</c:v>
                </c:pt>
                <c:pt idx="312">
                  <c:v>375.53193879872561</c:v>
                </c:pt>
                <c:pt idx="313">
                  <c:v>371.94894525781274</c:v>
                </c:pt>
                <c:pt idx="314">
                  <c:v>368.40858030226082</c:v>
                </c:pt>
                <c:pt idx="315">
                  <c:v>364.91023233532906</c:v>
                </c:pt>
                <c:pt idx="316">
                  <c:v>361.45330006442964</c:v>
                </c:pt>
                <c:pt idx="317">
                  <c:v>358.03719231393188</c:v>
                </c:pt>
                <c:pt idx="318">
                  <c:v>354.66132782679051</c:v>
                </c:pt>
                <c:pt idx="319">
                  <c:v>351.32513506989926</c:v>
                </c:pt>
                <c:pt idx="320">
                  <c:v>348.02805204782635</c:v>
                </c:pt>
                <c:pt idx="321">
                  <c:v>344.76952612586319</c:v>
                </c:pt>
                <c:pt idx="322">
                  <c:v>341.54901383537799</c:v>
                </c:pt>
                <c:pt idx="323">
                  <c:v>338.36598071549088</c:v>
                </c:pt>
                <c:pt idx="324">
                  <c:v>335.21990113426</c:v>
                </c:pt>
                <c:pt idx="325">
                  <c:v>332.11025811359286</c:v>
                </c:pt>
                <c:pt idx="326">
                  <c:v>329.03654317837209</c:v>
                </c:pt>
                <c:pt idx="327">
                  <c:v>325.99825618509203</c:v>
                </c:pt>
                <c:pt idx="328">
                  <c:v>322.99490516912192</c:v>
                </c:pt>
                <c:pt idx="329">
                  <c:v>320.02600619290024</c:v>
                </c:pt>
                <c:pt idx="330">
                  <c:v>317.09108318854123</c:v>
                </c:pt>
                <c:pt idx="331">
                  <c:v>314.1896678134799</c:v>
                </c:pt>
                <c:pt idx="332">
                  <c:v>311.32129931263626</c:v>
                </c:pt>
                <c:pt idx="333">
                  <c:v>308.48552436381578</c:v>
                </c:pt>
                <c:pt idx="334">
                  <c:v>305.68189695384353</c:v>
                </c:pt>
                <c:pt idx="335">
                  <c:v>302.90997822675854</c:v>
                </c:pt>
                <c:pt idx="336">
                  <c:v>300.16933637391776</c:v>
                </c:pt>
                <c:pt idx="337">
                  <c:v>297.45954647660255</c:v>
                </c:pt>
                <c:pt idx="338">
                  <c:v>294.78019040450454</c:v>
                </c:pt>
                <c:pt idx="339">
                  <c:v>292.13085667509586</c:v>
                </c:pt>
                <c:pt idx="340">
                  <c:v>289.51114033441991</c:v>
                </c:pt>
                <c:pt idx="341">
                  <c:v>286.92064284626395</c:v>
                </c:pt>
                <c:pt idx="342">
                  <c:v>284.35897196363658</c:v>
                </c:pt>
                <c:pt idx="343">
                  <c:v>281.82574162539095</c:v>
                </c:pt>
                <c:pt idx="344">
                  <c:v>279.32057183235884</c:v>
                </c:pt>
                <c:pt idx="345">
                  <c:v>276.84308854769915</c:v>
                </c:pt>
                <c:pt idx="346">
                  <c:v>274.39292358607054</c:v>
                </c:pt>
                <c:pt idx="347">
                  <c:v>271.96971450559795</c:v>
                </c:pt>
                <c:pt idx="348">
                  <c:v>269.57310450915247</c:v>
                </c:pt>
                <c:pt idx="349">
                  <c:v>267.20274233911186</c:v>
                </c:pt>
                <c:pt idx="350">
                  <c:v>264.85828218236566</c:v>
                </c:pt>
                <c:pt idx="351">
                  <c:v>262.53938356786966</c:v>
                </c:pt>
                <c:pt idx="352">
                  <c:v>260.24571128003299</c:v>
                </c:pt>
                <c:pt idx="353">
                  <c:v>257.97693525440991</c:v>
                </c:pt>
                <c:pt idx="354">
                  <c:v>255.7327304976061</c:v>
                </c:pt>
                <c:pt idx="355">
                  <c:v>253.51277699135244</c:v>
                </c:pt>
                <c:pt idx="356">
                  <c:v>251.31675960309803</c:v>
                </c:pt>
                <c:pt idx="357">
                  <c:v>249.14436800871044</c:v>
                </c:pt>
                <c:pt idx="358">
                  <c:v>246.9952965984121</c:v>
                </c:pt>
                <c:pt idx="359">
                  <c:v>244.86924440041184</c:v>
                </c:pt>
                <c:pt idx="360">
                  <c:v>242.76591499708593</c:v>
                </c:pt>
                <c:pt idx="361">
                  <c:v>240.68501644860953</c:v>
                </c:pt>
                <c:pt idx="362">
                  <c:v>238.62626121286303</c:v>
                </c:pt>
                <c:pt idx="363">
                  <c:v>236.58936606999487</c:v>
                </c:pt>
                <c:pt idx="364">
                  <c:v>234.57405204512179</c:v>
                </c:pt>
                <c:pt idx="365">
                  <c:v>232.58004434127361</c:v>
                </c:pt>
                <c:pt idx="366">
                  <c:v>230.60707226023078</c:v>
                </c:pt>
                <c:pt idx="367">
                  <c:v>228.65486914105713</c:v>
                </c:pt>
                <c:pt idx="368">
                  <c:v>226.72317227721214</c:v>
                </c:pt>
                <c:pt idx="369">
                  <c:v>224.81172286625952</c:v>
                </c:pt>
                <c:pt idx="370">
                  <c:v>222.92026592884213</c:v>
                </c:pt>
                <c:pt idx="371">
                  <c:v>221.04855025094002</c:v>
                </c:pt>
                <c:pt idx="372">
                  <c:v>219.19632831774652</c:v>
                </c:pt>
                <c:pt idx="373">
                  <c:v>217.36335625406355</c:v>
                </c:pt>
                <c:pt idx="374">
                  <c:v>215.54939375538379</c:v>
                </c:pt>
                <c:pt idx="375">
                  <c:v>213.75420403853059</c:v>
                </c:pt>
                <c:pt idx="376">
                  <c:v>211.97755377180874</c:v>
                </c:pt>
                <c:pt idx="377">
                  <c:v>210.2192130247131</c:v>
                </c:pt>
                <c:pt idx="378">
                  <c:v>208.4789552083239</c:v>
                </c:pt>
                <c:pt idx="379">
                  <c:v>206.75655701570213</c:v>
                </c:pt>
                <c:pt idx="380">
                  <c:v>205.05179837532341</c:v>
                </c:pt>
                <c:pt idx="381">
                  <c:v>203.36446238961071</c:v>
                </c:pt>
                <c:pt idx="382">
                  <c:v>201.69433528929949</c:v>
                </c:pt>
                <c:pt idx="383">
                  <c:v>200.0412063729018</c:v>
                </c:pt>
                <c:pt idx="384">
                  <c:v>198.40486796200275</c:v>
                </c:pt>
                <c:pt idx="385">
                  <c:v>196.78511535655707</c:v>
                </c:pt>
                <c:pt idx="386">
                  <c:v>195.18174676876515</c:v>
                </c:pt>
                <c:pt idx="387">
                  <c:v>193.59456329606473</c:v>
                </c:pt>
                <c:pt idx="388">
                  <c:v>192.02336886059493</c:v>
                </c:pt>
                <c:pt idx="389">
                  <c:v>190.46797016263008</c:v>
                </c:pt>
                <c:pt idx="390">
                  <c:v>188.92817664705217</c:v>
                </c:pt>
                <c:pt idx="391">
                  <c:v>187.40380044281483</c:v>
                </c:pt>
                <c:pt idx="392">
                  <c:v>185.89465633314103</c:v>
                </c:pt>
                <c:pt idx="393">
                  <c:v>184.40056170616299</c:v>
                </c:pt>
                <c:pt idx="394">
                  <c:v>182.92133650835603</c:v>
                </c:pt>
                <c:pt idx="395">
                  <c:v>181.45680321566761</c:v>
                </c:pt>
                <c:pt idx="396">
                  <c:v>180.00678677856922</c:v>
                </c:pt>
                <c:pt idx="397">
                  <c:v>178.57111459691077</c:v>
                </c:pt>
                <c:pt idx="398">
                  <c:v>177.14961646590382</c:v>
                </c:pt>
                <c:pt idx="399">
                  <c:v>175.74212454911321</c:v>
                </c:pt>
                <c:pt idx="400">
                  <c:v>174.34847333375365</c:v>
                </c:pt>
                <c:pt idx="401">
                  <c:v>172.96849960181862</c:v>
                </c:pt>
                <c:pt idx="402">
                  <c:v>171.60204238072038</c:v>
                </c:pt>
                <c:pt idx="403">
                  <c:v>170.24894292186946</c:v>
                </c:pt>
                <c:pt idx="404">
                  <c:v>168.90904465503991</c:v>
                </c:pt>
                <c:pt idx="405">
                  <c:v>167.58219315949827</c:v>
                </c:pt>
                <c:pt idx="406">
                  <c:v>166.26823612768203</c:v>
                </c:pt>
                <c:pt idx="407">
                  <c:v>164.9670233335346</c:v>
                </c:pt>
                <c:pt idx="408">
                  <c:v>163.67840659897774</c:v>
                </c:pt>
                <c:pt idx="409">
                  <c:v>162.40223976038396</c:v>
                </c:pt>
                <c:pt idx="410">
                  <c:v>161.13837864249945</c:v>
                </c:pt>
                <c:pt idx="411">
                  <c:v>159.88668101839721</c:v>
                </c:pt>
                <c:pt idx="412">
                  <c:v>158.64700658898801</c:v>
                </c:pt>
                <c:pt idx="413">
                  <c:v>157.41921694763005</c:v>
                </c:pt>
                <c:pt idx="414">
                  <c:v>156.20317554846406</c:v>
                </c:pt>
                <c:pt idx="415">
                  <c:v>154.99874768499285</c:v>
                </c:pt>
                <c:pt idx="416">
                  <c:v>153.80580045562238</c:v>
                </c:pt>
                <c:pt idx="417">
                  <c:v>152.62420273758471</c:v>
                </c:pt>
                <c:pt idx="418">
                  <c:v>151.45382516179234</c:v>
                </c:pt>
                <c:pt idx="419">
                  <c:v>150.29454008024186</c:v>
                </c:pt>
                <c:pt idx="420">
                  <c:v>149.14622154925019</c:v>
                </c:pt>
                <c:pt idx="421">
                  <c:v>148.00874529220164</c:v>
                </c:pt>
                <c:pt idx="422">
                  <c:v>146.88198868092149</c:v>
                </c:pt>
                <c:pt idx="423">
                  <c:v>145.7658307114616</c:v>
                </c:pt>
                <c:pt idx="424">
                  <c:v>144.66015197522938</c:v>
                </c:pt>
                <c:pt idx="425">
                  <c:v>143.56483463849872</c:v>
                </c:pt>
                <c:pt idx="426">
                  <c:v>142.47976241260767</c:v>
                </c:pt>
                <c:pt idx="427">
                  <c:v>141.40482054278255</c:v>
                </c:pt>
                <c:pt idx="428">
                  <c:v>140.33989576715976</c:v>
                </c:pt>
                <c:pt idx="429">
                  <c:v>139.28487631399184</c:v>
                </c:pt>
                <c:pt idx="430">
                  <c:v>138.23965186532587</c:v>
                </c:pt>
                <c:pt idx="431">
                  <c:v>137.20411353651434</c:v>
                </c:pt>
                <c:pt idx="432">
                  <c:v>136.17815386597067</c:v>
                </c:pt>
                <c:pt idx="433">
                  <c:v>135.16166677698493</c:v>
                </c:pt>
                <c:pt idx="434">
                  <c:v>134.15454757306725</c:v>
                </c:pt>
                <c:pt idx="435">
                  <c:v>133.15669290535152</c:v>
                </c:pt>
                <c:pt idx="436">
                  <c:v>132.16800076235086</c:v>
                </c:pt>
                <c:pt idx="437">
                  <c:v>131.18837044108659</c:v>
                </c:pt>
                <c:pt idx="438">
                  <c:v>130.21770253498107</c:v>
                </c:pt>
                <c:pt idx="439">
                  <c:v>129.25589891150594</c:v>
                </c:pt>
                <c:pt idx="440">
                  <c:v>128.30286269262433</c:v>
                </c:pt>
                <c:pt idx="441">
                  <c:v>127.35849823988974</c:v>
                </c:pt>
                <c:pt idx="442">
                  <c:v>126.42271113116294</c:v>
                </c:pt>
                <c:pt idx="443">
                  <c:v>125.49540814850479</c:v>
                </c:pt>
                <c:pt idx="444">
                  <c:v>124.57649725582451</c:v>
                </c:pt>
                <c:pt idx="445">
                  <c:v>123.6658875849098</c:v>
                </c:pt>
                <c:pt idx="446">
                  <c:v>122.76348941680044</c:v>
                </c:pt>
                <c:pt idx="447">
                  <c:v>121.86921416502446</c:v>
                </c:pt>
                <c:pt idx="448">
                  <c:v>120.98297435976565</c:v>
                </c:pt>
                <c:pt idx="449">
                  <c:v>120.10468363389373</c:v>
                </c:pt>
                <c:pt idx="450">
                  <c:v>119.2342567006126</c:v>
                </c:pt>
                <c:pt idx="451">
                  <c:v>118.37160934414715</c:v>
                </c:pt>
                <c:pt idx="452">
                  <c:v>117.51665840577334</c:v>
                </c:pt>
                <c:pt idx="453">
                  <c:v>116.66932175680995</c:v>
                </c:pt>
                <c:pt idx="454">
                  <c:v>115.82951830141246</c:v>
                </c:pt>
                <c:pt idx="455">
                  <c:v>114.99716794770211</c:v>
                </c:pt>
                <c:pt idx="456">
                  <c:v>114.17219159658998</c:v>
                </c:pt>
                <c:pt idx="457">
                  <c:v>113.3545111361891</c:v>
                </c:pt>
                <c:pt idx="458">
                  <c:v>112.54404941387475</c:v>
                </c:pt>
                <c:pt idx="459">
                  <c:v>111.74073023255914</c:v>
                </c:pt>
                <c:pt idx="460">
                  <c:v>110.9444783385843</c:v>
                </c:pt>
                <c:pt idx="461">
                  <c:v>110.15521939471364</c:v>
                </c:pt>
                <c:pt idx="462">
                  <c:v>109.37287998571992</c:v>
                </c:pt>
                <c:pt idx="463">
                  <c:v>108.59738759417087</c:v>
                </c:pt>
                <c:pt idx="464">
                  <c:v>107.82867058645934</c:v>
                </c:pt>
                <c:pt idx="465">
                  <c:v>107.06665820721537</c:v>
                </c:pt>
                <c:pt idx="466">
                  <c:v>106.31128056254238</c:v>
                </c:pt>
                <c:pt idx="467">
                  <c:v>105.56246861256659</c:v>
                </c:pt>
                <c:pt idx="468">
                  <c:v>104.82015415001661</c:v>
                </c:pt>
                <c:pt idx="469">
                  <c:v>104.08426979929209</c:v>
                </c:pt>
                <c:pt idx="470">
                  <c:v>103.35474900063127</c:v>
                </c:pt>
                <c:pt idx="471">
                  <c:v>102.63152599520981</c:v>
                </c:pt>
                <c:pt idx="472">
                  <c:v>101.91453582141548</c:v>
                </c:pt>
                <c:pt idx="473">
                  <c:v>101.20371429529041</c:v>
                </c:pt>
                <c:pt idx="474">
                  <c:v>100.49899800959975</c:v>
                </c:pt>
                <c:pt idx="475">
                  <c:v>99.800324315205216</c:v>
                </c:pt>
                <c:pt idx="476">
                  <c:v>99.107631309889257</c:v>
                </c:pt>
                <c:pt idx="477">
                  <c:v>98.420857838355005</c:v>
                </c:pt>
                <c:pt idx="478">
                  <c:v>97.739943471737206</c:v>
                </c:pt>
                <c:pt idx="479">
                  <c:v>97.064828498288989</c:v>
                </c:pt>
                <c:pt idx="480">
                  <c:v>96.39545392151922</c:v>
                </c:pt>
                <c:pt idx="481">
                  <c:v>95.731761442497373</c:v>
                </c:pt>
                <c:pt idx="482">
                  <c:v>95.073693453334272</c:v>
                </c:pt>
                <c:pt idx="483">
                  <c:v>94.421193028800189</c:v>
                </c:pt>
                <c:pt idx="484">
                  <c:v>93.774203915148973</c:v>
                </c:pt>
                <c:pt idx="485">
                  <c:v>93.132670520804822</c:v>
                </c:pt>
                <c:pt idx="486">
                  <c:v>92.496537908911705</c:v>
                </c:pt>
                <c:pt idx="487">
                  <c:v>91.865751791745424</c:v>
                </c:pt>
                <c:pt idx="488">
                  <c:v>91.240258512087166</c:v>
                </c:pt>
                <c:pt idx="489">
                  <c:v>90.620005044154823</c:v>
                </c:pt>
                <c:pt idx="490">
                  <c:v>90.004938984289765</c:v>
                </c:pt>
                <c:pt idx="491">
                  <c:v>89.395008533261716</c:v>
                </c:pt>
                <c:pt idx="492">
                  <c:v>88.79016250371933</c:v>
                </c:pt>
                <c:pt idx="493">
                  <c:v>88.190350297838449</c:v>
                </c:pt>
                <c:pt idx="494">
                  <c:v>87.595521904528141</c:v>
                </c:pt>
                <c:pt idx="495">
                  <c:v>87.005627897568047</c:v>
                </c:pt>
                <c:pt idx="496">
                  <c:v>86.420619416050613</c:v>
                </c:pt>
                <c:pt idx="497">
                  <c:v>85.840448169969022</c:v>
                </c:pt>
                <c:pt idx="498">
                  <c:v>85.265066418796778</c:v>
                </c:pt>
                <c:pt idx="499">
                  <c:v>84.694426978006959</c:v>
                </c:pt>
                <c:pt idx="500">
                  <c:v>84.128483200445771</c:v>
                </c:pt>
                <c:pt idx="501">
                  <c:v>83.56718897819519</c:v>
                </c:pt>
                <c:pt idx="502">
                  <c:v>83.010498725809157</c:v>
                </c:pt>
                <c:pt idx="503">
                  <c:v>82.458367385901511</c:v>
                </c:pt>
                <c:pt idx="504">
                  <c:v>81.910750408656895</c:v>
                </c:pt>
                <c:pt idx="505">
                  <c:v>81.36760375648737</c:v>
                </c:pt>
                <c:pt idx="506">
                  <c:v>80.828883890062571</c:v>
                </c:pt>
                <c:pt idx="507">
                  <c:v>80.29454776737839</c:v>
                </c:pt>
                <c:pt idx="508">
                  <c:v>79.764552828855813</c:v>
                </c:pt>
                <c:pt idx="509">
                  <c:v>79.238857004791498</c:v>
                </c:pt>
                <c:pt idx="510">
                  <c:v>78.717418692074716</c:v>
                </c:pt>
                <c:pt idx="511">
                  <c:v>78.200196763500571</c:v>
                </c:pt>
                <c:pt idx="512">
                  <c:v>77.687150551006198</c:v>
                </c:pt>
                <c:pt idx="513">
                  <c:v>77.178239847533405</c:v>
                </c:pt>
                <c:pt idx="514">
                  <c:v>76.673424892127514</c:v>
                </c:pt>
                <c:pt idx="515">
                  <c:v>76.172666375525296</c:v>
                </c:pt>
                <c:pt idx="516">
                  <c:v>75.675925422459841</c:v>
                </c:pt>
                <c:pt idx="517">
                  <c:v>75.183163595385849</c:v>
                </c:pt>
                <c:pt idx="518">
                  <c:v>74.694342885166407</c:v>
                </c:pt>
                <c:pt idx="519">
                  <c:v>74.209425704553723</c:v>
                </c:pt>
                <c:pt idx="520">
                  <c:v>73.728374885395169</c:v>
                </c:pt>
                <c:pt idx="521">
                  <c:v>73.251153670251369</c:v>
                </c:pt>
                <c:pt idx="522">
                  <c:v>72.777725709602237</c:v>
                </c:pt>
                <c:pt idx="523">
                  <c:v>72.308055059053004</c:v>
                </c:pt>
                <c:pt idx="524">
                  <c:v>71.842106164433062</c:v>
                </c:pt>
                <c:pt idx="525">
                  <c:v>71.379843871109188</c:v>
                </c:pt>
                <c:pt idx="526">
                  <c:v>70.921233405359089</c:v>
                </c:pt>
                <c:pt idx="527">
                  <c:v>70.466240379959345</c:v>
                </c:pt>
                <c:pt idx="528">
                  <c:v>70.014830781146884</c:v>
                </c:pt>
                <c:pt idx="529">
                  <c:v>69.566970971412957</c:v>
                </c:pt>
                <c:pt idx="530">
                  <c:v>69.122627679258585</c:v>
                </c:pt>
                <c:pt idx="531">
                  <c:v>68.681767995469272</c:v>
                </c:pt>
                <c:pt idx="532">
                  <c:v>68.244359372183681</c:v>
                </c:pt>
                <c:pt idx="533">
                  <c:v>67.810369615443051</c:v>
                </c:pt>
                <c:pt idx="534">
                  <c:v>67.379766875877976</c:v>
                </c:pt>
                <c:pt idx="535">
                  <c:v>66.952519659884274</c:v>
                </c:pt>
                <c:pt idx="536">
                  <c:v>66.528596803545952</c:v>
                </c:pt>
                <c:pt idx="537">
                  <c:v>66.107967490330338</c:v>
                </c:pt>
                <c:pt idx="538">
                  <c:v>65.690601228736341</c:v>
                </c:pt>
                <c:pt idx="539">
                  <c:v>65.276467861607671</c:v>
                </c:pt>
                <c:pt idx="540">
                  <c:v>64.86553755030036</c:v>
                </c:pt>
                <c:pt idx="541">
                  <c:v>64.457780784927309</c:v>
                </c:pt>
                <c:pt idx="542">
                  <c:v>64.05316836386919</c:v>
                </c:pt>
                <c:pt idx="543">
                  <c:v>63.651671405881643</c:v>
                </c:pt>
                <c:pt idx="544">
                  <c:v>63.253261332400143</c:v>
                </c:pt>
                <c:pt idx="545">
                  <c:v>62.85790987405926</c:v>
                </c:pt>
                <c:pt idx="546">
                  <c:v>62.465589062310755</c:v>
                </c:pt>
                <c:pt idx="547">
                  <c:v>62.07627122476697</c:v>
                </c:pt>
                <c:pt idx="548">
                  <c:v>61.689928985200822</c:v>
                </c:pt>
                <c:pt idx="549">
                  <c:v>61.306535258889198</c:v>
                </c:pt>
                <c:pt idx="550">
                  <c:v>60.926063243299723</c:v>
                </c:pt>
                <c:pt idx="551">
                  <c:v>60.548486423678696</c:v>
                </c:pt>
                <c:pt idx="552">
                  <c:v>60.173778566531837</c:v>
                </c:pt>
                <c:pt idx="553">
                  <c:v>59.8019137121737</c:v>
                </c:pt>
                <c:pt idx="554">
                  <c:v>59.432866172865033</c:v>
                </c:pt>
                <c:pt idx="555">
                  <c:v>59.066610537469387</c:v>
                </c:pt>
                <c:pt idx="556">
                  <c:v>58.703121653757989</c:v>
                </c:pt>
                <c:pt idx="557">
                  <c:v>58.342374641448259</c:v>
                </c:pt>
                <c:pt idx="558">
                  <c:v>57.984344873577356</c:v>
                </c:pt>
                <c:pt idx="559">
                  <c:v>57.629007983952761</c:v>
                </c:pt>
                <c:pt idx="560">
                  <c:v>57.276339860633016</c:v>
                </c:pt>
                <c:pt idx="561">
                  <c:v>56.926316644065082</c:v>
                </c:pt>
                <c:pt idx="562">
                  <c:v>56.578914720565081</c:v>
                </c:pt>
                <c:pt idx="563">
                  <c:v>56.234110720455647</c:v>
                </c:pt>
                <c:pt idx="564">
                  <c:v>55.891881524585187</c:v>
                </c:pt>
                <c:pt idx="565">
                  <c:v>55.552204241976142</c:v>
                </c:pt>
                <c:pt idx="566">
                  <c:v>55.215056227520108</c:v>
                </c:pt>
                <c:pt idx="567">
                  <c:v>54.880415065214038</c:v>
                </c:pt>
                <c:pt idx="568">
                  <c:v>54.548258572816849</c:v>
                </c:pt>
                <c:pt idx="569">
                  <c:v>54.218564795330167</c:v>
                </c:pt>
                <c:pt idx="570">
                  <c:v>53.891312001273036</c:v>
                </c:pt>
                <c:pt idx="571">
                  <c:v>53.566478686407208</c:v>
                </c:pt>
                <c:pt idx="572">
                  <c:v>53.244043566286564</c:v>
                </c:pt>
                <c:pt idx="573">
                  <c:v>52.923985569737852</c:v>
                </c:pt>
                <c:pt idx="574">
                  <c:v>52.606283848173916</c:v>
                </c:pt>
                <c:pt idx="575">
                  <c:v>52.290917758829892</c:v>
                </c:pt>
                <c:pt idx="576">
                  <c:v>51.977866874076426</c:v>
                </c:pt>
                <c:pt idx="577">
                  <c:v>51.667110972106457</c:v>
                </c:pt>
                <c:pt idx="578">
                  <c:v>51.358630037866533</c:v>
                </c:pt>
                <c:pt idx="579">
                  <c:v>51.052404257468879</c:v>
                </c:pt>
                <c:pt idx="580">
                  <c:v>50.74841401912272</c:v>
                </c:pt>
                <c:pt idx="581">
                  <c:v>50.446639910340309</c:v>
                </c:pt>
                <c:pt idx="582">
                  <c:v>50.147062711417675</c:v>
                </c:pt>
                <c:pt idx="583">
                  <c:v>49.849663401953876</c:v>
                </c:pt>
                <c:pt idx="584">
                  <c:v>49.554423146881163</c:v>
                </c:pt>
                <c:pt idx="585">
                  <c:v>49.26132330391556</c:v>
                </c:pt>
                <c:pt idx="586">
                  <c:v>48.970345418900251</c:v>
                </c:pt>
                <c:pt idx="587">
                  <c:v>48.681471221148968</c:v>
                </c:pt>
                <c:pt idx="588">
                  <c:v>48.39468262437731</c:v>
                </c:pt>
                <c:pt idx="589">
                  <c:v>48.109961718320847</c:v>
                </c:pt>
                <c:pt idx="590">
                  <c:v>47.827290779910982</c:v>
                </c:pt>
                <c:pt idx="591">
                  <c:v>47.546652256511152</c:v>
                </c:pt>
                <c:pt idx="592">
                  <c:v>47.268028770573437</c:v>
                </c:pt>
                <c:pt idx="593">
                  <c:v>46.991403119638562</c:v>
                </c:pt>
                <c:pt idx="594">
                  <c:v>46.716758272610605</c:v>
                </c:pt>
                <c:pt idx="595">
                  <c:v>46.444077363237739</c:v>
                </c:pt>
                <c:pt idx="596">
                  <c:v>46.173343696631491</c:v>
                </c:pt>
                <c:pt idx="597">
                  <c:v>45.904540739953518</c:v>
                </c:pt>
                <c:pt idx="598">
                  <c:v>45.637652126140893</c:v>
                </c:pt>
                <c:pt idx="599">
                  <c:v>45.372661645524204</c:v>
                </c:pt>
                <c:pt idx="600">
                  <c:v>45.109553252346814</c:v>
                </c:pt>
                <c:pt idx="601">
                  <c:v>44.848311057314277</c:v>
                </c:pt>
                <c:pt idx="602">
                  <c:v>44.58891932386905</c:v>
                </c:pt>
                <c:pt idx="603">
                  <c:v>44.331362474709749</c:v>
                </c:pt>
                <c:pt idx="604">
                  <c:v>44.075625081546605</c:v>
                </c:pt>
                <c:pt idx="605">
                  <c:v>43.821691868826747</c:v>
                </c:pt>
                <c:pt idx="606">
                  <c:v>43.569547708146274</c:v>
                </c:pt>
                <c:pt idx="607">
                  <c:v>43.319177619181573</c:v>
                </c:pt>
                <c:pt idx="608">
                  <c:v>43.070566771551967</c:v>
                </c:pt>
                <c:pt idx="609">
                  <c:v>42.823700469918549</c:v>
                </c:pt>
                <c:pt idx="610">
                  <c:v>42.578564170747995</c:v>
                </c:pt>
                <c:pt idx="611">
                  <c:v>42.335143467411399</c:v>
                </c:pt>
                <c:pt idx="612">
                  <c:v>42.093424092046916</c:v>
                </c:pt>
                <c:pt idx="613">
                  <c:v>41.853391914628446</c:v>
                </c:pt>
                <c:pt idx="614">
                  <c:v>41.615032945759594</c:v>
                </c:pt>
                <c:pt idx="615">
                  <c:v>41.378333324566483</c:v>
                </c:pt>
                <c:pt idx="616">
                  <c:v>41.143279328942299</c:v>
                </c:pt>
                <c:pt idx="617">
                  <c:v>40.909857366234064</c:v>
                </c:pt>
                <c:pt idx="618">
                  <c:v>40.678053971379995</c:v>
                </c:pt>
                <c:pt idx="619">
                  <c:v>40.44785581715405</c:v>
                </c:pt>
                <c:pt idx="620">
                  <c:v>40.219249692745507</c:v>
                </c:pt>
                <c:pt idx="621">
                  <c:v>39.992222523316741</c:v>
                </c:pt>
                <c:pt idx="622">
                  <c:v>39.766761352308095</c:v>
                </c:pt>
                <c:pt idx="623">
                  <c:v>39.542853349819779</c:v>
                </c:pt>
                <c:pt idx="624">
                  <c:v>39.32048580609262</c:v>
                </c:pt>
                <c:pt idx="625">
                  <c:v>39.099646136164665</c:v>
                </c:pt>
                <c:pt idx="626">
                  <c:v>38.880321868695319</c:v>
                </c:pt>
                <c:pt idx="627">
                  <c:v>38.662500656209886</c:v>
                </c:pt>
                <c:pt idx="628">
                  <c:v>38.446170264855027</c:v>
                </c:pt>
                <c:pt idx="629">
                  <c:v>38.231318577192724</c:v>
                </c:pt>
                <c:pt idx="630">
                  <c:v>38.017933589406312</c:v>
                </c:pt>
                <c:pt idx="631">
                  <c:v>37.806003414094448</c:v>
                </c:pt>
                <c:pt idx="632">
                  <c:v>37.595516270026565</c:v>
                </c:pt>
                <c:pt idx="633">
                  <c:v>37.386460493318737</c:v>
                </c:pt>
                <c:pt idx="634">
                  <c:v>37.17882452532649</c:v>
                </c:pt>
                <c:pt idx="635">
                  <c:v>36.972596917301416</c:v>
                </c:pt>
                <c:pt idx="636">
                  <c:v>36.767766325734556</c:v>
                </c:pt>
                <c:pt idx="637">
                  <c:v>36.564321518875659</c:v>
                </c:pt>
                <c:pt idx="638">
                  <c:v>36.3622513609007</c:v>
                </c:pt>
                <c:pt idx="639">
                  <c:v>36.161544830538332</c:v>
                </c:pt>
                <c:pt idx="640">
                  <c:v>35.96219099778682</c:v>
                </c:pt>
                <c:pt idx="641">
                  <c:v>35.764179045334458</c:v>
                </c:pt>
                <c:pt idx="642">
                  <c:v>35.567498247139156</c:v>
                </c:pt>
                <c:pt idx="643">
                  <c:v>35.372137983329594</c:v>
                </c:pt>
                <c:pt idx="644">
                  <c:v>35.17808772996068</c:v>
                </c:pt>
                <c:pt idx="645">
                  <c:v>34.985337059013546</c:v>
                </c:pt>
                <c:pt idx="646">
                  <c:v>34.793875640258193</c:v>
                </c:pt>
                <c:pt idx="647">
                  <c:v>34.60369323939085</c:v>
                </c:pt>
                <c:pt idx="648">
                  <c:v>34.414779718033969</c:v>
                </c:pt>
                <c:pt idx="649">
                  <c:v>34.227125024423003</c:v>
                </c:pt>
                <c:pt idx="650">
                  <c:v>34.040719208307564</c:v>
                </c:pt>
                <c:pt idx="651">
                  <c:v>33.855552402324975</c:v>
                </c:pt>
                <c:pt idx="652">
                  <c:v>33.671614837832749</c:v>
                </c:pt>
                <c:pt idx="653">
                  <c:v>33.488896827213466</c:v>
                </c:pt>
                <c:pt idx="654">
                  <c:v>33.307388779707253</c:v>
                </c:pt>
                <c:pt idx="655">
                  <c:v>33.127081184647977</c:v>
                </c:pt>
                <c:pt idx="656">
                  <c:v>32.947964621707797</c:v>
                </c:pt>
                <c:pt idx="657">
                  <c:v>32.770029759965837</c:v>
                </c:pt>
                <c:pt idx="658">
                  <c:v>32.593267346732318</c:v>
                </c:pt>
                <c:pt idx="659">
                  <c:v>32.417668215930462</c:v>
                </c:pt>
                <c:pt idx="660">
                  <c:v>32.243223286233842</c:v>
                </c:pt>
                <c:pt idx="661">
                  <c:v>32.069923558272421</c:v>
                </c:pt>
                <c:pt idx="662">
                  <c:v>31.897760110907257</c:v>
                </c:pt>
                <c:pt idx="663">
                  <c:v>31.726724109612405</c:v>
                </c:pt>
                <c:pt idx="664">
                  <c:v>31.556806791573763</c:v>
                </c:pt>
                <c:pt idx="665">
                  <c:v>31.387999482452869</c:v>
                </c:pt>
                <c:pt idx="666">
                  <c:v>31.220293576829135</c:v>
                </c:pt>
                <c:pt idx="667">
                  <c:v>31.053680554963648</c:v>
                </c:pt>
                <c:pt idx="668">
                  <c:v>30.888151966035366</c:v>
                </c:pt>
                <c:pt idx="669">
                  <c:v>30.723699440248311</c:v>
                </c:pt>
                <c:pt idx="670">
                  <c:v>30.560314681380987</c:v>
                </c:pt>
                <c:pt idx="671">
                  <c:v>30.397989467717707</c:v>
                </c:pt>
                <c:pt idx="672">
                  <c:v>30.23671564925462</c:v>
                </c:pt>
                <c:pt idx="673">
                  <c:v>30.076485150493681</c:v>
                </c:pt>
                <c:pt idx="674">
                  <c:v>29.917289968580008</c:v>
                </c:pt>
                <c:pt idx="675">
                  <c:v>29.759122168645263</c:v>
                </c:pt>
                <c:pt idx="676">
                  <c:v>29.601973890326917</c:v>
                </c:pt>
                <c:pt idx="677">
                  <c:v>29.445837340317667</c:v>
                </c:pt>
                <c:pt idx="678">
                  <c:v>29.290704797022045</c:v>
                </c:pt>
                <c:pt idx="679">
                  <c:v>29.136568603105843</c:v>
                </c:pt>
                <c:pt idx="680">
                  <c:v>28.983421172015369</c:v>
                </c:pt>
                <c:pt idx="681">
                  <c:v>28.8312549861148</c:v>
                </c:pt>
                <c:pt idx="682">
                  <c:v>28.680062589235604</c:v>
                </c:pt>
                <c:pt idx="683">
                  <c:v>28.529836594127119</c:v>
                </c:pt>
                <c:pt idx="684">
                  <c:v>28.38056967779994</c:v>
                </c:pt>
                <c:pt idx="685">
                  <c:v>28.232254580594599</c:v>
                </c:pt>
                <c:pt idx="686">
                  <c:v>28.084884110838175</c:v>
                </c:pt>
                <c:pt idx="687">
                  <c:v>27.938451131805778</c:v>
                </c:pt>
                <c:pt idx="688">
                  <c:v>27.792948580347002</c:v>
                </c:pt>
                <c:pt idx="689">
                  <c:v>27.648369442671537</c:v>
                </c:pt>
                <c:pt idx="690">
                  <c:v>27.504706776700914</c:v>
                </c:pt>
                <c:pt idx="691">
                  <c:v>27.361953695304692</c:v>
                </c:pt>
                <c:pt idx="692">
                  <c:v>27.220103374682367</c:v>
                </c:pt>
                <c:pt idx="693">
                  <c:v>27.079149045050144</c:v>
                </c:pt>
                <c:pt idx="694">
                  <c:v>26.939084002748132</c:v>
                </c:pt>
                <c:pt idx="695">
                  <c:v>26.799901596270502</c:v>
                </c:pt>
                <c:pt idx="696">
                  <c:v>26.661595235578716</c:v>
                </c:pt>
                <c:pt idx="697">
                  <c:v>26.524158384650946</c:v>
                </c:pt>
                <c:pt idx="698">
                  <c:v>26.38758456800133</c:v>
                </c:pt>
                <c:pt idx="699">
                  <c:v>26.251867361366749</c:v>
                </c:pt>
                <c:pt idx="700">
                  <c:v>26.11700040102005</c:v>
                </c:pt>
                <c:pt idx="701">
                  <c:v>25.982977371662855</c:v>
                </c:pt>
                <c:pt idx="702">
                  <c:v>25.849792020395398</c:v>
                </c:pt>
                <c:pt idx="703">
                  <c:v>25.717438139952719</c:v>
                </c:pt>
                <c:pt idx="704">
                  <c:v>25.585909583605826</c:v>
                </c:pt>
                <c:pt idx="705">
                  <c:v>25.455200250260532</c:v>
                </c:pt>
                <c:pt idx="706">
                  <c:v>25.325304097495973</c:v>
                </c:pt>
                <c:pt idx="707">
                  <c:v>25.196215133182704</c:v>
                </c:pt>
                <c:pt idx="708">
                  <c:v>25.067927409894764</c:v>
                </c:pt>
                <c:pt idx="709">
                  <c:v>24.940435040742159</c:v>
                </c:pt>
                <c:pt idx="710">
                  <c:v>24.8137321844697</c:v>
                </c:pt>
                <c:pt idx="711">
                  <c:v>24.687813046388328</c:v>
                </c:pt>
                <c:pt idx="712">
                  <c:v>24.562671886757016</c:v>
                </c:pt>
                <c:pt idx="713">
                  <c:v>24.438303011469543</c:v>
                </c:pt>
                <c:pt idx="714">
                  <c:v>24.314700775779784</c:v>
                </c:pt>
                <c:pt idx="715">
                  <c:v>24.191859581507742</c:v>
                </c:pt>
                <c:pt idx="716">
                  <c:v>24.069773879833519</c:v>
                </c:pt>
                <c:pt idx="717">
                  <c:v>23.948438167572021</c:v>
                </c:pt>
                <c:pt idx="718">
                  <c:v>23.827846986241639</c:v>
                </c:pt>
                <c:pt idx="719">
                  <c:v>23.70799492765218</c:v>
                </c:pt>
                <c:pt idx="720">
                  <c:v>23.588876626454294</c:v>
                </c:pt>
                <c:pt idx="721">
                  <c:v>23.470486762933433</c:v>
                </c:pt>
                <c:pt idx="722">
                  <c:v>23.352820061147213</c:v>
                </c:pt>
                <c:pt idx="723">
                  <c:v>23.235871290788054</c:v>
                </c:pt>
                <c:pt idx="724">
                  <c:v>23.119635265320539</c:v>
                </c:pt>
                <c:pt idx="725">
                  <c:v>23.004106840118766</c:v>
                </c:pt>
                <c:pt idx="726">
                  <c:v>22.889280916191638</c:v>
                </c:pt>
                <c:pt idx="727">
                  <c:v>22.775152435526252</c:v>
                </c:pt>
                <c:pt idx="728">
                  <c:v>22.661716382019222</c:v>
                </c:pt>
                <c:pt idx="729">
                  <c:v>22.548967780545354</c:v>
                </c:pt>
                <c:pt idx="730">
                  <c:v>22.436901700682938</c:v>
                </c:pt>
                <c:pt idx="731">
                  <c:v>22.325513251125813</c:v>
                </c:pt>
                <c:pt idx="732">
                  <c:v>22.214797578752041</c:v>
                </c:pt>
                <c:pt idx="733">
                  <c:v>22.104749876074493</c:v>
                </c:pt>
                <c:pt idx="734">
                  <c:v>21.995365370064974</c:v>
                </c:pt>
                <c:pt idx="735">
                  <c:v>21.886639330536127</c:v>
                </c:pt>
                <c:pt idx="736">
                  <c:v>21.778567065484822</c:v>
                </c:pt>
                <c:pt idx="737">
                  <c:v>21.671143922023475</c:v>
                </c:pt>
                <c:pt idx="738">
                  <c:v>21.564365283586085</c:v>
                </c:pt>
                <c:pt idx="739">
                  <c:v>21.458226574584842</c:v>
                </c:pt>
                <c:pt idx="740">
                  <c:v>21.352723255753517</c:v>
                </c:pt>
                <c:pt idx="741">
                  <c:v>21.247850825078785</c:v>
                </c:pt>
                <c:pt idx="742">
                  <c:v>21.143604816868901</c:v>
                </c:pt>
                <c:pt idx="743">
                  <c:v>21.039980803616345</c:v>
                </c:pt>
                <c:pt idx="744">
                  <c:v>20.936974393203855</c:v>
                </c:pt>
                <c:pt idx="745">
                  <c:v>20.834581228904426</c:v>
                </c:pt>
                <c:pt idx="746">
                  <c:v>20.732796990312636</c:v>
                </c:pt>
                <c:pt idx="747">
                  <c:v>20.631617392413318</c:v>
                </c:pt>
                <c:pt idx="748">
                  <c:v>20.531038184650242</c:v>
                </c:pt>
                <c:pt idx="749">
                  <c:v>20.431055151857436</c:v>
                </c:pt>
                <c:pt idx="750">
                  <c:v>20.331664111465216</c:v>
                </c:pt>
                <c:pt idx="751">
                  <c:v>20.23286091722548</c:v>
                </c:pt>
                <c:pt idx="752">
                  <c:v>20.134641454555094</c:v>
                </c:pt>
                <c:pt idx="753">
                  <c:v>20.037001643329859</c:v>
                </c:pt>
                <c:pt idx="754">
                  <c:v>19.939937435090542</c:v>
                </c:pt>
                <c:pt idx="755">
                  <c:v>19.843444818630815</c:v>
                </c:pt>
                <c:pt idx="756">
                  <c:v>19.747519806958735</c:v>
                </c:pt>
                <c:pt idx="757">
                  <c:v>19.652158454060555</c:v>
                </c:pt>
                <c:pt idx="758">
                  <c:v>19.557356838136911</c:v>
                </c:pt>
                <c:pt idx="759">
                  <c:v>19.46311107557267</c:v>
                </c:pt>
                <c:pt idx="760">
                  <c:v>19.369417308829725</c:v>
                </c:pt>
                <c:pt idx="761">
                  <c:v>19.276271715760231</c:v>
                </c:pt>
                <c:pt idx="762">
                  <c:v>19.183670499362051</c:v>
                </c:pt>
                <c:pt idx="763">
                  <c:v>19.09160989895463</c:v>
                </c:pt>
                <c:pt idx="764">
                  <c:v>19.000086179934442</c:v>
                </c:pt>
                <c:pt idx="765">
                  <c:v>18.909095640294254</c:v>
                </c:pt>
                <c:pt idx="766">
                  <c:v>18.818634605035186</c:v>
                </c:pt>
                <c:pt idx="767">
                  <c:v>18.728699428029358</c:v>
                </c:pt>
                <c:pt idx="768">
                  <c:v>18.639286499470472</c:v>
                </c:pt>
                <c:pt idx="769">
                  <c:v>18.550392226316035</c:v>
                </c:pt>
                <c:pt idx="770">
                  <c:v>18.462013054639101</c:v>
                </c:pt>
                <c:pt idx="771">
                  <c:v>18.374145451933146</c:v>
                </c:pt>
                <c:pt idx="772">
                  <c:v>18.286785919219255</c:v>
                </c:pt>
                <c:pt idx="773">
                  <c:v>18.19993097987026</c:v>
                </c:pt>
                <c:pt idx="774">
                  <c:v>18.113577189855278</c:v>
                </c:pt>
                <c:pt idx="775">
                  <c:v>18.027721125632524</c:v>
                </c:pt>
                <c:pt idx="776">
                  <c:v>17.942359400913119</c:v>
                </c:pt>
                <c:pt idx="777">
                  <c:v>17.857488644309342</c:v>
                </c:pt>
                <c:pt idx="778">
                  <c:v>17.77310551982373</c:v>
                </c:pt>
                <c:pt idx="779">
                  <c:v>17.689206716604531</c:v>
                </c:pt>
                <c:pt idx="780">
                  <c:v>17.605788943357766</c:v>
                </c:pt>
                <c:pt idx="781">
                  <c:v>17.522848942317069</c:v>
                </c:pt>
                <c:pt idx="782">
                  <c:v>17.440383478999138</c:v>
                </c:pt>
                <c:pt idx="783">
                  <c:v>17.358389341272414</c:v>
                </c:pt>
                <c:pt idx="784">
                  <c:v>17.276863345876336</c:v>
                </c:pt>
                <c:pt idx="785">
                  <c:v>17.195802330970764</c:v>
                </c:pt>
                <c:pt idx="786">
                  <c:v>17.115203165449202</c:v>
                </c:pt>
                <c:pt idx="787">
                  <c:v>17.03506273496896</c:v>
                </c:pt>
                <c:pt idx="788">
                  <c:v>16.955377954058349</c:v>
                </c:pt>
                <c:pt idx="789">
                  <c:v>16.876145760528743</c:v>
                </c:pt>
                <c:pt idx="790">
                  <c:v>16.797363117337227</c:v>
                </c:pt>
                <c:pt idx="791">
                  <c:v>16.719027007929981</c:v>
                </c:pt>
                <c:pt idx="792">
                  <c:v>16.641134440898895</c:v>
                </c:pt>
                <c:pt idx="793">
                  <c:v>16.563682448118925</c:v>
                </c:pt>
                <c:pt idx="794">
                  <c:v>16.486668084748089</c:v>
                </c:pt>
                <c:pt idx="795">
                  <c:v>16.410088427364826</c:v>
                </c:pt>
                <c:pt idx="796">
                  <c:v>16.333940576761961</c:v>
                </c:pt>
                <c:pt idx="797">
                  <c:v>16.258221655152738</c:v>
                </c:pt>
                <c:pt idx="798">
                  <c:v>16.182928808033466</c:v>
                </c:pt>
                <c:pt idx="799">
                  <c:v>16.108059199526906</c:v>
                </c:pt>
                <c:pt idx="800">
                  <c:v>16.033610021695495</c:v>
                </c:pt>
                <c:pt idx="801">
                  <c:v>15.959578482434154</c:v>
                </c:pt>
                <c:pt idx="802">
                  <c:v>15.885961813852191</c:v>
                </c:pt>
                <c:pt idx="803">
                  <c:v>15.812757266685367</c:v>
                </c:pt>
                <c:pt idx="804">
                  <c:v>15.739962117746472</c:v>
                </c:pt>
                <c:pt idx="805">
                  <c:v>15.667573660612106</c:v>
                </c:pt>
                <c:pt idx="806">
                  <c:v>15.595589209347963</c:v>
                </c:pt>
                <c:pt idx="807">
                  <c:v>15.524006103165448</c:v>
                </c:pt>
                <c:pt idx="808">
                  <c:v>15.45282169431448</c:v>
                </c:pt>
                <c:pt idx="809">
                  <c:v>15.38203336019069</c:v>
                </c:pt>
                <c:pt idx="810">
                  <c:v>15.311638499610126</c:v>
                </c:pt>
                <c:pt idx="811">
                  <c:v>15.241634526289999</c:v>
                </c:pt>
                <c:pt idx="812">
                  <c:v>15.172018876299262</c:v>
                </c:pt>
                <c:pt idx="813">
                  <c:v>15.102789004333317</c:v>
                </c:pt>
                <c:pt idx="814">
                  <c:v>15.033942387439311</c:v>
                </c:pt>
                <c:pt idx="815">
                  <c:v>14.965476517565548</c:v>
                </c:pt>
                <c:pt idx="816">
                  <c:v>14.897388905286789</c:v>
                </c:pt>
                <c:pt idx="817">
                  <c:v>14.8296770863235</c:v>
                </c:pt>
                <c:pt idx="818">
                  <c:v>14.762338607572019</c:v>
                </c:pt>
                <c:pt idx="819">
                  <c:v>14.695371038280427</c:v>
                </c:pt>
                <c:pt idx="820">
                  <c:v>14.628771965391934</c:v>
                </c:pt>
                <c:pt idx="821">
                  <c:v>14.562538995407522</c:v>
                </c:pt>
                <c:pt idx="822">
                  <c:v>14.49666974786669</c:v>
                </c:pt>
                <c:pt idx="823">
                  <c:v>14.431161868385971</c:v>
                </c:pt>
                <c:pt idx="824">
                  <c:v>14.366013010032475</c:v>
                </c:pt>
                <c:pt idx="825">
                  <c:v>14.301220854744315</c:v>
                </c:pt>
                <c:pt idx="826">
                  <c:v>14.236783090978861</c:v>
                </c:pt>
                <c:pt idx="827">
                  <c:v>14.172697433270514</c:v>
                </c:pt>
                <c:pt idx="828">
                  <c:v>14.108961606398225</c:v>
                </c:pt>
                <c:pt idx="829">
                  <c:v>14.045573358424008</c:v>
                </c:pt>
                <c:pt idx="830">
                  <c:v>13.982530448585749</c:v>
                </c:pt>
                <c:pt idx="831">
                  <c:v>13.919830655679107</c:v>
                </c:pt>
                <c:pt idx="832">
                  <c:v>13.85747177619487</c:v>
                </c:pt>
                <c:pt idx="833">
                  <c:v>13.795451619662344</c:v>
                </c:pt>
                <c:pt idx="834">
                  <c:v>13.733768013305962</c:v>
                </c:pt>
                <c:pt idx="835">
                  <c:v>13.672418801113963</c:v>
                </c:pt>
                <c:pt idx="836">
                  <c:v>13.611401844769716</c:v>
                </c:pt>
                <c:pt idx="837">
                  <c:v>13.550715017132461</c:v>
                </c:pt>
                <c:pt idx="838">
                  <c:v>13.490356210619211</c:v>
                </c:pt>
                <c:pt idx="839">
                  <c:v>13.430323331616819</c:v>
                </c:pt>
                <c:pt idx="840">
                  <c:v>13.37061430234462</c:v>
                </c:pt>
                <c:pt idx="841">
                  <c:v>13.311227059923112</c:v>
                </c:pt>
                <c:pt idx="842">
                  <c:v>13.252159559167922</c:v>
                </c:pt>
                <c:pt idx="843">
                  <c:v>13.1934097642079</c:v>
                </c:pt>
                <c:pt idx="844">
                  <c:v>13.134975660592318</c:v>
                </c:pt>
                <c:pt idx="845">
                  <c:v>13.076855245046318</c:v>
                </c:pt>
                <c:pt idx="846">
                  <c:v>13.019046530127525</c:v>
                </c:pt>
                <c:pt idx="847">
                  <c:v>12.96154754050076</c:v>
                </c:pt>
                <c:pt idx="848">
                  <c:v>12.904356321319938</c:v>
                </c:pt>
                <c:pt idx="849">
                  <c:v>12.847470924258232</c:v>
                </c:pt>
                <c:pt idx="850">
                  <c:v>12.790889421477914</c:v>
                </c:pt>
                <c:pt idx="851">
                  <c:v>12.734609896317124</c:v>
                </c:pt>
                <c:pt idx="852">
                  <c:v>12.678630446083844</c:v>
                </c:pt>
                <c:pt idx="853">
                  <c:v>12.622949182055891</c:v>
                </c:pt>
                <c:pt idx="854">
                  <c:v>12.567564231343567</c:v>
                </c:pt>
                <c:pt idx="855">
                  <c:v>12.512473731301725</c:v>
                </c:pt>
                <c:pt idx="856">
                  <c:v>12.457675835117698</c:v>
                </c:pt>
                <c:pt idx="857">
                  <c:v>12.403168708086014</c:v>
                </c:pt>
                <c:pt idx="858">
                  <c:v>12.348950530402362</c:v>
                </c:pt>
                <c:pt idx="859">
                  <c:v>12.295019494369626</c:v>
                </c:pt>
                <c:pt idx="860">
                  <c:v>12.241373805329204</c:v>
                </c:pt>
                <c:pt idx="861">
                  <c:v>12.18801168166101</c:v>
                </c:pt>
                <c:pt idx="862">
                  <c:v>12.134931353852153</c:v>
                </c:pt>
                <c:pt idx="863">
                  <c:v>12.082131067290902</c:v>
                </c:pt>
                <c:pt idx="864">
                  <c:v>12.029609077610075</c:v>
                </c:pt>
                <c:pt idx="865">
                  <c:v>11.977363655343652</c:v>
                </c:pt>
                <c:pt idx="866">
                  <c:v>11.925393081270158</c:v>
                </c:pt>
                <c:pt idx="867">
                  <c:v>11.873695649206638</c:v>
                </c:pt>
                <c:pt idx="868">
                  <c:v>11.822269666008651</c:v>
                </c:pt>
                <c:pt idx="869">
                  <c:v>11.771113449707627</c:v>
                </c:pt>
                <c:pt idx="870">
                  <c:v>11.720225331373513</c:v>
                </c:pt>
                <c:pt idx="871">
                  <c:v>11.669603653252125</c:v>
                </c:pt>
                <c:pt idx="872">
                  <c:v>11.619246767833829</c:v>
                </c:pt>
                <c:pt idx="873">
                  <c:v>11.569153044372797</c:v>
                </c:pt>
                <c:pt idx="874">
                  <c:v>11.519320857711136</c:v>
                </c:pt>
                <c:pt idx="875">
                  <c:v>11.469748598523438</c:v>
                </c:pt>
                <c:pt idx="876">
                  <c:v>11.420434666797519</c:v>
                </c:pt>
                <c:pt idx="877">
                  <c:v>11.371377474628389</c:v>
                </c:pt>
                <c:pt idx="878">
                  <c:v>11.322575447149575</c:v>
                </c:pt>
                <c:pt idx="879">
                  <c:v>11.274027015082538</c:v>
                </c:pt>
                <c:pt idx="880">
                  <c:v>11.225730627775192</c:v>
                </c:pt>
                <c:pt idx="881">
                  <c:v>11.177684740163386</c:v>
                </c:pt>
                <c:pt idx="882">
                  <c:v>11.129887819290161</c:v>
                </c:pt>
                <c:pt idx="883">
                  <c:v>11.082338345237076</c:v>
                </c:pt>
                <c:pt idx="884">
                  <c:v>11.03503480553627</c:v>
                </c:pt>
                <c:pt idx="885">
                  <c:v>10.987975700758398</c:v>
                </c:pt>
                <c:pt idx="886">
                  <c:v>10.941159541718662</c:v>
                </c:pt>
                <c:pt idx="887">
                  <c:v>10.894584847614169</c:v>
                </c:pt>
                <c:pt idx="888">
                  <c:v>10.848250150680542</c:v>
                </c:pt>
                <c:pt idx="889">
                  <c:v>10.802153994329274</c:v>
                </c:pt>
                <c:pt idx="890">
                  <c:v>10.75629492662847</c:v>
                </c:pt>
                <c:pt idx="891">
                  <c:v>10.710671512410045</c:v>
                </c:pt>
                <c:pt idx="892">
                  <c:v>10.665282323025167</c:v>
                </c:pt>
                <c:pt idx="893">
                  <c:v>10.620125941000879</c:v>
                </c:pt>
                <c:pt idx="894">
                  <c:v>10.575200956314802</c:v>
                </c:pt>
                <c:pt idx="895">
                  <c:v>10.53050597384572</c:v>
                </c:pt>
                <c:pt idx="896">
                  <c:v>10.486039602197707</c:v>
                </c:pt>
                <c:pt idx="897">
                  <c:v>10.441800464875996</c:v>
                </c:pt>
                <c:pt idx="898">
                  <c:v>10.397787191905081</c:v>
                </c:pt>
                <c:pt idx="899">
                  <c:v>10.353998423554003</c:v>
                </c:pt>
                <c:pt idx="900">
                  <c:v>10.310432808473706</c:v>
                </c:pt>
                <c:pt idx="901">
                  <c:v>10.267089008353651</c:v>
                </c:pt>
                <c:pt idx="902">
                  <c:v>10.223965691402555</c:v>
                </c:pt>
                <c:pt idx="903">
                  <c:v>10.181061532348394</c:v>
                </c:pt>
                <c:pt idx="904">
                  <c:v>10.138375222682953</c:v>
                </c:pt>
                <c:pt idx="905">
                  <c:v>10.095905453898013</c:v>
                </c:pt>
                <c:pt idx="906">
                  <c:v>10.053650935180485</c:v>
                </c:pt>
                <c:pt idx="907">
                  <c:v>10.011610377579927</c:v>
                </c:pt>
                <c:pt idx="908">
                  <c:v>9.969782505184412</c:v>
                </c:pt>
                <c:pt idx="909">
                  <c:v>9.9281660486012697</c:v>
                </c:pt>
                <c:pt idx="910">
                  <c:v>9.8867597505450249</c:v>
                </c:pt>
                <c:pt idx="911">
                  <c:v>9.845562357455492</c:v>
                </c:pt>
                <c:pt idx="912">
                  <c:v>9.8045726288110018</c:v>
                </c:pt>
                <c:pt idx="913">
                  <c:v>9.7637893287464976</c:v>
                </c:pt>
                <c:pt idx="914">
                  <c:v>9.7232112353667617</c:v>
                </c:pt>
                <c:pt idx="915">
                  <c:v>9.6828371277078986</c:v>
                </c:pt>
                <c:pt idx="916">
                  <c:v>9.6426658006384969</c:v>
                </c:pt>
                <c:pt idx="917">
                  <c:v>9.6026960518211126</c:v>
                </c:pt>
                <c:pt idx="918">
                  <c:v>9.562926690094173</c:v>
                </c:pt>
                <c:pt idx="919">
                  <c:v>9.5233565298840404</c:v>
                </c:pt>
                <c:pt idx="920">
                  <c:v>9.4839843977242708</c:v>
                </c:pt>
                <c:pt idx="921">
                  <c:v>9.4448091238737106</c:v>
                </c:pt>
                <c:pt idx="922">
                  <c:v>9.4058295488357544</c:v>
                </c:pt>
                <c:pt idx="923">
                  <c:v>9.3670445214956999</c:v>
                </c:pt>
                <c:pt idx="924">
                  <c:v>9.3284528963267803</c:v>
                </c:pt>
                <c:pt idx="925">
                  <c:v>9.2900535380467772</c:v>
                </c:pt>
                <c:pt idx="926">
                  <c:v>9.2518453160300851</c:v>
                </c:pt>
                <c:pt idx="927">
                  <c:v>9.2138271117582917</c:v>
                </c:pt>
                <c:pt idx="928">
                  <c:v>9.1759978113695979</c:v>
                </c:pt>
                <c:pt idx="929">
                  <c:v>9.1383563056588173</c:v>
                </c:pt>
                <c:pt idx="930">
                  <c:v>9.1009015012532473</c:v>
                </c:pt>
                <c:pt idx="931">
                  <c:v>9.0636323019862175</c:v>
                </c:pt>
                <c:pt idx="932">
                  <c:v>9.026547628454864</c:v>
                </c:pt>
                <c:pt idx="933">
                  <c:v>8.9896464021876454</c:v>
                </c:pt>
                <c:pt idx="934">
                  <c:v>8.9529275540262461</c:v>
                </c:pt>
                <c:pt idx="935">
                  <c:v>8.9163900222629309</c:v>
                </c:pt>
                <c:pt idx="936">
                  <c:v>8.8800327526405454</c:v>
                </c:pt>
                <c:pt idx="937">
                  <c:v>8.8438546964898705</c:v>
                </c:pt>
                <c:pt idx="938">
                  <c:v>8.8078548135235906</c:v>
                </c:pt>
                <c:pt idx="939">
                  <c:v>8.7720320709049702</c:v>
                </c:pt>
                <c:pt idx="940">
                  <c:v>8.7363854413852096</c:v>
                </c:pt>
                <c:pt idx="941">
                  <c:v>8.7009139033034444</c:v>
                </c:pt>
                <c:pt idx="942">
                  <c:v>8.6656164461746812</c:v>
                </c:pt>
                <c:pt idx="943">
                  <c:v>8.6304920632392168</c:v>
                </c:pt>
                <c:pt idx="944">
                  <c:v>8.5955397533252835</c:v>
                </c:pt>
                <c:pt idx="945">
                  <c:v>8.5607585236430168</c:v>
                </c:pt>
                <c:pt idx="946">
                  <c:v>8.5261473897844553</c:v>
                </c:pt>
                <c:pt idx="947">
                  <c:v>8.4917053701356053</c:v>
                </c:pt>
                <c:pt idx="948">
                  <c:v>8.4574314933270216</c:v>
                </c:pt>
                <c:pt idx="949">
                  <c:v>8.4233247898519039</c:v>
                </c:pt>
                <c:pt idx="950">
                  <c:v>8.389384301379323</c:v>
                </c:pt>
                <c:pt idx="951">
                  <c:v>8.3556090742349625</c:v>
                </c:pt>
                <c:pt idx="952">
                  <c:v>8.3219981584697962</c:v>
                </c:pt>
                <c:pt idx="953">
                  <c:v>8.2885506162419915</c:v>
                </c:pt>
                <c:pt idx="954">
                  <c:v>8.2552655078470707</c:v>
                </c:pt>
                <c:pt idx="955">
                  <c:v>8.2221419084817171</c:v>
                </c:pt>
                <c:pt idx="956">
                  <c:v>8.1891788924112916</c:v>
                </c:pt>
                <c:pt idx="957">
                  <c:v>8.1563755450770259</c:v>
                </c:pt>
                <c:pt idx="958">
                  <c:v>8.1237309528514743</c:v>
                </c:pt>
                <c:pt idx="959">
                  <c:v>8.0912442151457071</c:v>
                </c:pt>
                <c:pt idx="960">
                  <c:v>8.058914428576827</c:v>
                </c:pt>
                <c:pt idx="961">
                  <c:v>8.0267407037317753</c:v>
                </c:pt>
                <c:pt idx="962">
                  <c:v>7.9947221521288157</c:v>
                </c:pt>
                <c:pt idx="963">
                  <c:v>7.96285789180547</c:v>
                </c:pt>
                <c:pt idx="964">
                  <c:v>7.9311470501124859</c:v>
                </c:pt>
                <c:pt idx="965">
                  <c:v>7.8995887544006109</c:v>
                </c:pt>
                <c:pt idx="966">
                  <c:v>7.8681821413338184</c:v>
                </c:pt>
                <c:pt idx="967">
                  <c:v>7.8369263540953398</c:v>
                </c:pt>
                <c:pt idx="968">
                  <c:v>7.8058205377310514</c:v>
                </c:pt>
                <c:pt idx="969">
                  <c:v>7.7748638475313783</c:v>
                </c:pt>
                <c:pt idx="970">
                  <c:v>7.7440554387867451</c:v>
                </c:pt>
                <c:pt idx="971">
                  <c:v>7.7133944779634476</c:v>
                </c:pt>
                <c:pt idx="972">
                  <c:v>7.6828801333904266</c:v>
                </c:pt>
                <c:pt idx="973">
                  <c:v>7.6525115789845586</c:v>
                </c:pt>
                <c:pt idx="974">
                  <c:v>7.6222879961133003</c:v>
                </c:pt>
                <c:pt idx="975">
                  <c:v>7.5922085689380765</c:v>
                </c:pt>
                <c:pt idx="976">
                  <c:v>7.5622724900022149</c:v>
                </c:pt>
                <c:pt idx="977">
                  <c:v>7.5324789518490434</c:v>
                </c:pt>
                <c:pt idx="978">
                  <c:v>7.5028271581977606</c:v>
                </c:pt>
                <c:pt idx="979">
                  <c:v>7.4733163146302104</c:v>
                </c:pt>
                <c:pt idx="980">
                  <c:v>7.4439456323161721</c:v>
                </c:pt>
                <c:pt idx="981">
                  <c:v>7.4147143280133605</c:v>
                </c:pt>
                <c:pt idx="982">
                  <c:v>7.3856216231361032</c:v>
                </c:pt>
                <c:pt idx="983">
                  <c:v>7.3566667437553406</c:v>
                </c:pt>
                <c:pt idx="984">
                  <c:v>7.3278489205986261</c:v>
                </c:pt>
                <c:pt idx="985">
                  <c:v>7.2991673937067389</c:v>
                </c:pt>
                <c:pt idx="986">
                  <c:v>7.2706214003264904</c:v>
                </c:pt>
                <c:pt idx="987">
                  <c:v>7.2422101888805628</c:v>
                </c:pt>
                <c:pt idx="988">
                  <c:v>7.2139330105856061</c:v>
                </c:pt>
                <c:pt idx="989">
                  <c:v>7.1857891185209155</c:v>
                </c:pt>
                <c:pt idx="990">
                  <c:v>7.1577777769416571</c:v>
                </c:pt>
                <c:pt idx="991">
                  <c:v>7.1298982501029968</c:v>
                </c:pt>
                <c:pt idx="992">
                  <c:v>7.1021498059853911</c:v>
                </c:pt>
                <c:pt idx="993">
                  <c:v>7.0745317218825221</c:v>
                </c:pt>
                <c:pt idx="994">
                  <c:v>7.047043276950717</c:v>
                </c:pt>
                <c:pt idx="995">
                  <c:v>7.0196837540715933</c:v>
                </c:pt>
                <c:pt idx="996">
                  <c:v>6.9924524407833815</c:v>
                </c:pt>
                <c:pt idx="997">
                  <c:v>6.9653486330062151</c:v>
                </c:pt>
                <c:pt idx="998">
                  <c:v>6.9383716257289052</c:v>
                </c:pt>
                <c:pt idx="999">
                  <c:v>6.911520722322166</c:v>
                </c:pt>
                <c:pt idx="1000">
                  <c:v>6.8847952289506793</c:v>
                </c:pt>
                <c:pt idx="1001">
                  <c:v>6.85819445643574</c:v>
                </c:pt>
                <c:pt idx="1002">
                  <c:v>6.8317177193239331</c:v>
                </c:pt>
                <c:pt idx="1003">
                  <c:v>6.8053643386811018</c:v>
                </c:pt>
                <c:pt idx="1004">
                  <c:v>6.7791336365044117</c:v>
                </c:pt>
                <c:pt idx="1005">
                  <c:v>6.7530249413102865</c:v>
                </c:pt>
                <c:pt idx="1006">
                  <c:v>6.7270375872030854</c:v>
                </c:pt>
                <c:pt idx="1007">
                  <c:v>6.701170907355845</c:v>
                </c:pt>
                <c:pt idx="1008">
                  <c:v>6.6754242479801178</c:v>
                </c:pt>
                <c:pt idx="1009">
                  <c:v>6.6497969478368759</c:v>
                </c:pt>
                <c:pt idx="1010">
                  <c:v>6.6242883605882525</c:v>
                </c:pt>
                <c:pt idx="1011">
                  <c:v>6.598897835239768</c:v>
                </c:pt>
                <c:pt idx="1012">
                  <c:v>6.5736247338354588</c:v>
                </c:pt>
                <c:pt idx="1013">
                  <c:v>6.5484684137627482</c:v>
                </c:pt>
                <c:pt idx="1014">
                  <c:v>6.5234282407909632</c:v>
                </c:pt>
                <c:pt idx="1015">
                  <c:v>6.4985035872086883</c:v>
                </c:pt>
                <c:pt idx="1016">
                  <c:v>6.4736938215792179</c:v>
                </c:pt>
                <c:pt idx="1017">
                  <c:v>6.44899832457304</c:v>
                </c:pt>
                <c:pt idx="1018">
                  <c:v>6.4244164759293199</c:v>
                </c:pt>
                <c:pt idx="1019">
                  <c:v>6.3999476591125131</c:v>
                </c:pt>
                <c:pt idx="1020">
                  <c:v>6.3755912650376558</c:v>
                </c:pt>
                <c:pt idx="1021">
                  <c:v>6.3513466864824295</c:v>
                </c:pt>
                <c:pt idx="1022">
                  <c:v>6.327213317155838</c:v>
                </c:pt>
                <c:pt idx="1023">
                  <c:v>6.3031905582174659</c:v>
                </c:pt>
                <c:pt idx="1024">
                  <c:v>6.2792778145521879</c:v>
                </c:pt>
                <c:pt idx="1025">
                  <c:v>6.2554744929075241</c:v>
                </c:pt>
                <c:pt idx="1026">
                  <c:v>6.2317800037562847</c:v>
                </c:pt>
                <c:pt idx="1027">
                  <c:v>6.2081937631592155</c:v>
                </c:pt>
                <c:pt idx="1028">
                  <c:v>6.1847151881083846</c:v>
                </c:pt>
                <c:pt idx="1029">
                  <c:v>6.1613437030464411</c:v>
                </c:pt>
                <c:pt idx="1030">
                  <c:v>6.1380787305533886</c:v>
                </c:pt>
                <c:pt idx="1031">
                  <c:v>6.1149197015911341</c:v>
                </c:pt>
                <c:pt idx="1032">
                  <c:v>6.091866048052907</c:v>
                </c:pt>
                <c:pt idx="1033">
                  <c:v>6.0689172083511949</c:v>
                </c:pt>
                <c:pt idx="1034">
                  <c:v>6.0460726181045175</c:v>
                </c:pt>
                <c:pt idx="1035">
                  <c:v>6.023331725038588</c:v>
                </c:pt>
                <c:pt idx="1036">
                  <c:v>6.000693972222507</c:v>
                </c:pt>
                <c:pt idx="1037">
                  <c:v>5.9781588111072779</c:v>
                </c:pt>
                <c:pt idx="1038">
                  <c:v>5.9557256950065494</c:v>
                </c:pt>
                <c:pt idx="1039">
                  <c:v>5.9333940790966153</c:v>
                </c:pt>
                <c:pt idx="1040">
                  <c:v>5.9111634269356728</c:v>
                </c:pt>
                <c:pt idx="1041">
                  <c:v>5.889033199287951</c:v>
                </c:pt>
                <c:pt idx="1042">
                  <c:v>5.8670028615742922</c:v>
                </c:pt>
                <c:pt idx="1043">
                  <c:v>5.8450718857347965</c:v>
                </c:pt>
                <c:pt idx="1044">
                  <c:v>5.8232397455722094</c:v>
                </c:pt>
                <c:pt idx="1045">
                  <c:v>5.8015059167519212</c:v>
                </c:pt>
                <c:pt idx="1046">
                  <c:v>5.7798698768019676</c:v>
                </c:pt>
                <c:pt idx="1047">
                  <c:v>5.7583311107009649</c:v>
                </c:pt>
                <c:pt idx="1048">
                  <c:v>5.7368891043588519</c:v>
                </c:pt>
                <c:pt idx="1049">
                  <c:v>5.7155433455482125</c:v>
                </c:pt>
                <c:pt idx="1050">
                  <c:v>5.6942933285608888</c:v>
                </c:pt>
                <c:pt idx="1051">
                  <c:v>5.6731385448947549</c:v>
                </c:pt>
                <c:pt idx="1052">
                  <c:v>5.6520784962922335</c:v>
                </c:pt>
                <c:pt idx="1053">
                  <c:v>5.6311126835644245</c:v>
                </c:pt>
                <c:pt idx="1054">
                  <c:v>5.6102406093850732</c:v>
                </c:pt>
                <c:pt idx="1055">
                  <c:v>5.5894617829471827</c:v>
                </c:pt>
                <c:pt idx="1056">
                  <c:v>5.5687757125124335</c:v>
                </c:pt>
                <c:pt idx="1057">
                  <c:v>5.548181913793087</c:v>
                </c:pt>
                <c:pt idx="1058">
                  <c:v>5.5276799015700817</c:v>
                </c:pt>
                <c:pt idx="1059">
                  <c:v>5.5072691962122917</c:v>
                </c:pt>
                <c:pt idx="1060">
                  <c:v>5.4869493180885911</c:v>
                </c:pt>
                <c:pt idx="1061">
                  <c:v>5.4667197922244668</c:v>
                </c:pt>
                <c:pt idx="1062">
                  <c:v>5.4465801501646638</c:v>
                </c:pt>
                <c:pt idx="1063">
                  <c:v>5.426529916934669</c:v>
                </c:pt>
                <c:pt idx="1064">
                  <c:v>5.4065686305984855</c:v>
                </c:pt>
                <c:pt idx="1065">
                  <c:v>5.3866958245635033</c:v>
                </c:pt>
                <c:pt idx="1066">
                  <c:v>5.3669110387563705</c:v>
                </c:pt>
                <c:pt idx="1067">
                  <c:v>5.3472138168290257</c:v>
                </c:pt>
                <c:pt idx="1068">
                  <c:v>5.3276037005707622</c:v>
                </c:pt>
                <c:pt idx="1069">
                  <c:v>5.3080802382901311</c:v>
                </c:pt>
                <c:pt idx="1070">
                  <c:v>5.2886429829522967</c:v>
                </c:pt>
                <c:pt idx="1071">
                  <c:v>5.2692914819344878</c:v>
                </c:pt>
                <c:pt idx="1072">
                  <c:v>5.250025293789804</c:v>
                </c:pt>
                <c:pt idx="1073">
                  <c:v>5.2308439780026674</c:v>
                </c:pt>
                <c:pt idx="1074">
                  <c:v>5.2117470912635326</c:v>
                </c:pt>
                <c:pt idx="1075">
                  <c:v>5.1927342005074024</c:v>
                </c:pt>
                <c:pt idx="1076">
                  <c:v>5.1738048698753119</c:v>
                </c:pt>
                <c:pt idx="1077">
                  <c:v>5.1549586681649089</c:v>
                </c:pt>
                <c:pt idx="1078">
                  <c:v>5.1361951660364866</c:v>
                </c:pt>
                <c:pt idx="1079">
                  <c:v>5.117513938806951</c:v>
                </c:pt>
                <c:pt idx="1080">
                  <c:v>5.0989145608618855</c:v>
                </c:pt>
                <c:pt idx="1081">
                  <c:v>5.0803966112434864</c:v>
                </c:pt>
                <c:pt idx="1082">
                  <c:v>5.0619596717879176</c:v>
                </c:pt>
                <c:pt idx="1083">
                  <c:v>5.0436033243313432</c:v>
                </c:pt>
                <c:pt idx="1084">
                  <c:v>5.0253271590918303</c:v>
                </c:pt>
                <c:pt idx="1085">
                  <c:v>5.007130759768188</c:v>
                </c:pt>
                <c:pt idx="1086">
                  <c:v>4.9890137203037739</c:v>
                </c:pt>
                <c:pt idx="1087">
                  <c:v>4.9709756318479776</c:v>
                </c:pt>
                <c:pt idx="1088">
                  <c:v>4.9530160939320922</c:v>
                </c:pt>
                <c:pt idx="1089">
                  <c:v>4.9351347023621202</c:v>
                </c:pt>
                <c:pt idx="1090">
                  <c:v>4.9173310557380319</c:v>
                </c:pt>
                <c:pt idx="1091">
                  <c:v>4.8996047610417008</c:v>
                </c:pt>
                <c:pt idx="1092">
                  <c:v>4.8819554205983877</c:v>
                </c:pt>
                <c:pt idx="1093">
                  <c:v>4.8643826432526112</c:v>
                </c:pt>
                <c:pt idx="1094">
                  <c:v>4.8468860387802124</c:v>
                </c:pt>
                <c:pt idx="1095">
                  <c:v>4.8294652197510004</c:v>
                </c:pt>
                <c:pt idx="1096">
                  <c:v>4.8121197987347841</c:v>
                </c:pt>
                <c:pt idx="1097">
                  <c:v>4.794849393889308</c:v>
                </c:pt>
                <c:pt idx="1098">
                  <c:v>4.7776536261662841</c:v>
                </c:pt>
                <c:pt idx="1099">
                  <c:v>4.7605321118608117</c:v>
                </c:pt>
                <c:pt idx="1100">
                  <c:v>4.743484478443861</c:v>
                </c:pt>
                <c:pt idx="1101">
                  <c:v>4.7265103496611118</c:v>
                </c:pt>
                <c:pt idx="1102">
                  <c:v>4.7096093539148569</c:v>
                </c:pt>
                <c:pt idx="1103">
                  <c:v>4.6927811214700341</c:v>
                </c:pt>
                <c:pt idx="1104">
                  <c:v>4.6760252835229039</c:v>
                </c:pt>
                <c:pt idx="1105">
                  <c:v>4.6593414749950171</c:v>
                </c:pt>
                <c:pt idx="1106">
                  <c:v>4.6427293326705694</c:v>
                </c:pt>
                <c:pt idx="1107">
                  <c:v>4.6261884933337569</c:v>
                </c:pt>
                <c:pt idx="1108">
                  <c:v>4.6097185993567109</c:v>
                </c:pt>
                <c:pt idx="1109">
                  <c:v>4.5933192921802402</c:v>
                </c:pt>
                <c:pt idx="1110">
                  <c:v>4.5769902169704437</c:v>
                </c:pt>
                <c:pt idx="1111">
                  <c:v>4.560731022618711</c:v>
                </c:pt>
                <c:pt idx="1112">
                  <c:v>4.5445413533598185</c:v>
                </c:pt>
                <c:pt idx="1113">
                  <c:v>4.5284208646044135</c:v>
                </c:pt>
                <c:pt idx="1114">
                  <c:v>4.5123692071065307</c:v>
                </c:pt>
                <c:pt idx="1115">
                  <c:v>4.4963860344141722</c:v>
                </c:pt>
                <c:pt idx="1116">
                  <c:v>4.4804710075259209</c:v>
                </c:pt>
                <c:pt idx="1117">
                  <c:v>4.4646237818524241</c:v>
                </c:pt>
                <c:pt idx="1118">
                  <c:v>4.4488440193235874</c:v>
                </c:pt>
                <c:pt idx="1119">
                  <c:v>4.4331313818693161</c:v>
                </c:pt>
                <c:pt idx="1120">
                  <c:v>4.4174855360761285</c:v>
                </c:pt>
                <c:pt idx="1121">
                  <c:v>4.4019061475992203</c:v>
                </c:pt>
                <c:pt idx="1122">
                  <c:v>4.3863928858190775</c:v>
                </c:pt>
                <c:pt idx="1123">
                  <c:v>4.370945418253541</c:v>
                </c:pt>
                <c:pt idx="1124">
                  <c:v>4.3555634208023548</c:v>
                </c:pt>
                <c:pt idx="1125">
                  <c:v>4.3402465656399727</c:v>
                </c:pt>
                <c:pt idx="1126">
                  <c:v>4.3249945305287838</c:v>
                </c:pt>
                <c:pt idx="1127">
                  <c:v>4.3098069932311773</c:v>
                </c:pt>
                <c:pt idx="1128">
                  <c:v>4.2946836315095425</c:v>
                </c:pt>
                <c:pt idx="1129">
                  <c:v>4.2796241277828813</c:v>
                </c:pt>
                <c:pt idx="1130">
                  <c:v>4.2646281681954861</c:v>
                </c:pt>
                <c:pt idx="1131">
                  <c:v>4.2496954351663589</c:v>
                </c:pt>
                <c:pt idx="1132">
                  <c:v>4.2348256148397923</c:v>
                </c:pt>
                <c:pt idx="1133">
                  <c:v>4.2200183998793364</c:v>
                </c:pt>
                <c:pt idx="1134">
                  <c:v>4.2052734792232513</c:v>
                </c:pt>
                <c:pt idx="1135">
                  <c:v>4.1905905436724424</c:v>
                </c:pt>
                <c:pt idx="1136">
                  <c:v>4.1759692877531052</c:v>
                </c:pt>
                <c:pt idx="1137">
                  <c:v>4.1614094087854028</c:v>
                </c:pt>
                <c:pt idx="1138">
                  <c:v>4.1469106050208211</c:v>
                </c:pt>
                <c:pt idx="1139">
                  <c:v>4.1324725737795234</c:v>
                </c:pt>
                <c:pt idx="1140">
                  <c:v>4.1180950151756406</c:v>
                </c:pt>
                <c:pt idx="1141">
                  <c:v>4.1037776358425617</c:v>
                </c:pt>
                <c:pt idx="1142">
                  <c:v>4.0895201358944178</c:v>
                </c:pt>
                <c:pt idx="1143">
                  <c:v>4.0753222247585654</c:v>
                </c:pt>
                <c:pt idx="1144">
                  <c:v>4.0611836081370711</c:v>
                </c:pt>
                <c:pt idx="1145">
                  <c:v>4.0471039954572916</c:v>
                </c:pt>
                <c:pt idx="1146">
                  <c:v>4.0330830989405513</c:v>
                </c:pt>
                <c:pt idx="1147">
                  <c:v>4.0191206308081746</c:v>
                </c:pt>
                <c:pt idx="1148">
                  <c:v>4.0052163051441312</c:v>
                </c:pt>
                <c:pt idx="1149">
                  <c:v>3.9913698360323906</c:v>
                </c:pt>
                <c:pt idx="1150">
                  <c:v>3.977580945007503</c:v>
                </c:pt>
                <c:pt idx="1151">
                  <c:v>3.9638493480160832</c:v>
                </c:pt>
                <c:pt idx="1152">
                  <c:v>3.9501747656613588</c:v>
                </c:pt>
                <c:pt idx="1153">
                  <c:v>3.9365569213405252</c:v>
                </c:pt>
                <c:pt idx="1154">
                  <c:v>3.9229955384507775</c:v>
                </c:pt>
                <c:pt idx="1155">
                  <c:v>3.909490343183279</c:v>
                </c:pt>
                <c:pt idx="1156">
                  <c:v>3.8960410607978702</c:v>
                </c:pt>
                <c:pt idx="1157">
                  <c:v>3.8826474193483591</c:v>
                </c:pt>
                <c:pt idx="1158">
                  <c:v>3.869309151545167</c:v>
                </c:pt>
                <c:pt idx="1159">
                  <c:v>3.856025985442102</c:v>
                </c:pt>
                <c:pt idx="1160">
                  <c:v>3.8427976565435529</c:v>
                </c:pt>
                <c:pt idx="1161">
                  <c:v>3.8296238975599408</c:v>
                </c:pt>
                <c:pt idx="1162">
                  <c:v>3.8165044449269772</c:v>
                </c:pt>
                <c:pt idx="1163">
                  <c:v>3.8034390369430184</c:v>
                </c:pt>
                <c:pt idx="1164">
                  <c:v>3.7904274109750986</c:v>
                </c:pt>
                <c:pt idx="1165">
                  <c:v>3.7774693071842194</c:v>
                </c:pt>
                <c:pt idx="1166">
                  <c:v>3.7645644685253501</c:v>
                </c:pt>
                <c:pt idx="1167">
                  <c:v>3.7517126370221376</c:v>
                </c:pt>
                <c:pt idx="1168">
                  <c:v>3.7389135593548417</c:v>
                </c:pt>
                <c:pt idx="1169">
                  <c:v>3.7261669775471091</c:v>
                </c:pt>
                <c:pt idx="1170">
                  <c:v>3.7134726429358125</c:v>
                </c:pt>
                <c:pt idx="1171">
                  <c:v>3.7008303022012115</c:v>
                </c:pt>
                <c:pt idx="1172">
                  <c:v>3.6882397066801786</c:v>
                </c:pt>
                <c:pt idx="1173">
                  <c:v>3.6757006058469415</c:v>
                </c:pt>
                <c:pt idx="1174">
                  <c:v>3.6632127556949854</c:v>
                </c:pt>
                <c:pt idx="1175">
                  <c:v>3.650775907561183</c:v>
                </c:pt>
                <c:pt idx="1176">
                  <c:v>3.6383898193016648</c:v>
                </c:pt>
                <c:pt idx="1177">
                  <c:v>3.6260542459785938</c:v>
                </c:pt>
                <c:pt idx="1178">
                  <c:v>3.6137689482420683</c:v>
                </c:pt>
                <c:pt idx="1179">
                  <c:v>3.6015336830168962</c:v>
                </c:pt>
                <c:pt idx="1180">
                  <c:v>3.5893482146784663</c:v>
                </c:pt>
                <c:pt idx="1181">
                  <c:v>3.5772123020142317</c:v>
                </c:pt>
                <c:pt idx="1182">
                  <c:v>3.5651257103309035</c:v>
                </c:pt>
                <c:pt idx="1183">
                  <c:v>3.5530882058665156</c:v>
                </c:pt>
                <c:pt idx="1184">
                  <c:v>3.5410995511338115</c:v>
                </c:pt>
                <c:pt idx="1185">
                  <c:v>3.5291595179587603</c:v>
                </c:pt>
                <c:pt idx="1186">
                  <c:v>3.5172678716480732</c:v>
                </c:pt>
                <c:pt idx="1187">
                  <c:v>3.5054243840277195</c:v>
                </c:pt>
                <c:pt idx="1188">
                  <c:v>3.4936288269236684</c:v>
                </c:pt>
                <c:pt idx="1189">
                  <c:v>3.4818809693679214</c:v>
                </c:pt>
                <c:pt idx="1190">
                  <c:v>3.4701805897057056</c:v>
                </c:pt>
                <c:pt idx="1191">
                  <c:v>3.4585274597629905</c:v>
                </c:pt>
                <c:pt idx="1192">
                  <c:v>3.4469213569536805</c:v>
                </c:pt>
                <c:pt idx="1193">
                  <c:v>3.4353620586916804</c:v>
                </c:pt>
                <c:pt idx="1194">
                  <c:v>3.4238493433222175</c:v>
                </c:pt>
                <c:pt idx="1195">
                  <c:v>3.4123829919844866</c:v>
                </c:pt>
                <c:pt idx="1196">
                  <c:v>3.400962783023715</c:v>
                </c:pt>
                <c:pt idx="1197">
                  <c:v>3.389588501304388</c:v>
                </c:pt>
                <c:pt idx="1198">
                  <c:v>3.3782599288970232</c:v>
                </c:pt>
                <c:pt idx="1199">
                  <c:v>3.3669768515974283</c:v>
                </c:pt>
                <c:pt idx="1200">
                  <c:v>3.3557390533387661</c:v>
                </c:pt>
                <c:pt idx="1201">
                  <c:v>3.3445463217794895</c:v>
                </c:pt>
                <c:pt idx="1202">
                  <c:v>3.3333984464406967</c:v>
                </c:pt>
                <c:pt idx="1203">
                  <c:v>3.3222952140495181</c:v>
                </c:pt>
                <c:pt idx="1204">
                  <c:v>3.3112364178523421</c:v>
                </c:pt>
                <c:pt idx="1205">
                  <c:v>3.3002218464389443</c:v>
                </c:pt>
                <c:pt idx="1206">
                  <c:v>3.2892512949183583</c:v>
                </c:pt>
                <c:pt idx="1207">
                  <c:v>3.2783245546743274</c:v>
                </c:pt>
                <c:pt idx="1208">
                  <c:v>3.2674414236098528</c:v>
                </c:pt>
                <c:pt idx="1209">
                  <c:v>3.2566016940400004</c:v>
                </c:pt>
                <c:pt idx="1210">
                  <c:v>3.2458051666617393</c:v>
                </c:pt>
                <c:pt idx="1211">
                  <c:v>3.2350516365841031</c:v>
                </c:pt>
                <c:pt idx="1212">
                  <c:v>3.2243409035727382</c:v>
                </c:pt>
                <c:pt idx="1213">
                  <c:v>3.2136727711185813</c:v>
                </c:pt>
                <c:pt idx="1214">
                  <c:v>3.2030470361933112</c:v>
                </c:pt>
                <c:pt idx="1215">
                  <c:v>3.1924635032191873</c:v>
                </c:pt>
                <c:pt idx="1216">
                  <c:v>3.1819219766184688</c:v>
                </c:pt>
                <c:pt idx="1217">
                  <c:v>3.1714222598820925</c:v>
                </c:pt>
                <c:pt idx="1218">
                  <c:v>3.1609641583636403</c:v>
                </c:pt>
                <c:pt idx="1219">
                  <c:v>3.1505474802106619</c:v>
                </c:pt>
                <c:pt idx="1220">
                  <c:v>3.1401720307767391</c:v>
                </c:pt>
                <c:pt idx="1221">
                  <c:v>3.1298376200720668</c:v>
                </c:pt>
                <c:pt idx="1222">
                  <c:v>3.1195440581068397</c:v>
                </c:pt>
                <c:pt idx="1223">
                  <c:v>3.1092911548912525</c:v>
                </c:pt>
                <c:pt idx="1224">
                  <c:v>3.0990787241607904</c:v>
                </c:pt>
                <c:pt idx="1225">
                  <c:v>3.0889065749943256</c:v>
                </c:pt>
                <c:pt idx="1226">
                  <c:v>3.0787745229899883</c:v>
                </c:pt>
                <c:pt idx="1227">
                  <c:v>3.0686823856085539</c:v>
                </c:pt>
                <c:pt idx="1228">
                  <c:v>3.0586299747228622</c:v>
                </c:pt>
                <c:pt idx="1229">
                  <c:v>3.0486171077936888</c:v>
                </c:pt>
                <c:pt idx="1230">
                  <c:v>3.038643604144454</c:v>
                </c:pt>
                <c:pt idx="1231">
                  <c:v>3.0287092793732882</c:v>
                </c:pt>
                <c:pt idx="1232">
                  <c:v>3.0188139574602246</c:v>
                </c:pt>
                <c:pt idx="1233">
                  <c:v>3.0089574558660388</c:v>
                </c:pt>
                <c:pt idx="1234">
                  <c:v>2.9991395957767963</c:v>
                </c:pt>
                <c:pt idx="1235">
                  <c:v>2.9893602021038532</c:v>
                </c:pt>
                <c:pt idx="1236">
                  <c:v>2.9796190960332751</c:v>
                </c:pt>
                <c:pt idx="1237">
                  <c:v>2.969916102476418</c:v>
                </c:pt>
                <c:pt idx="1238">
                  <c:v>2.9602510472759604</c:v>
                </c:pt>
                <c:pt idx="1239">
                  <c:v>2.9506237572059035</c:v>
                </c:pt>
                <c:pt idx="1240">
                  <c:v>2.9410340553149581</c:v>
                </c:pt>
                <c:pt idx="1241">
                  <c:v>2.9314817758277059</c:v>
                </c:pt>
                <c:pt idx="1242">
                  <c:v>2.9219667427241802</c:v>
                </c:pt>
                <c:pt idx="1243">
                  <c:v>2.9124887874349952</c:v>
                </c:pt>
                <c:pt idx="1244">
                  <c:v>2.9030477413907647</c:v>
                </c:pt>
                <c:pt idx="1245">
                  <c:v>2.8936434350907803</c:v>
                </c:pt>
                <c:pt idx="1246">
                  <c:v>2.884275701828301</c:v>
                </c:pt>
                <c:pt idx="1247">
                  <c:v>2.8749443739652634</c:v>
                </c:pt>
                <c:pt idx="1248">
                  <c:v>2.8656492875888944</c:v>
                </c:pt>
                <c:pt idx="1249">
                  <c:v>2.8563902741298079</c:v>
                </c:pt>
                <c:pt idx="1250">
                  <c:v>2.8471671743318439</c:v>
                </c:pt>
                <c:pt idx="1251">
                  <c:v>2.8379798214882612</c:v>
                </c:pt>
                <c:pt idx="1252">
                  <c:v>2.8288280535489321</c:v>
                </c:pt>
                <c:pt idx="1253">
                  <c:v>2.8197117112576962</c:v>
                </c:pt>
                <c:pt idx="1254">
                  <c:v>2.8106306316331029</c:v>
                </c:pt>
                <c:pt idx="1255">
                  <c:v>2.8015846563503146</c:v>
                </c:pt>
                <c:pt idx="1256">
                  <c:v>2.7925736252218485</c:v>
                </c:pt>
                <c:pt idx="1257">
                  <c:v>2.7835973799228668</c:v>
                </c:pt>
                <c:pt idx="1258">
                  <c:v>2.7746557658538222</c:v>
                </c:pt>
                <c:pt idx="1259">
                  <c:v>2.7657486237585545</c:v>
                </c:pt>
                <c:pt idx="1260">
                  <c:v>2.7568757981061935</c:v>
                </c:pt>
                <c:pt idx="1261">
                  <c:v>2.7480371342971921</c:v>
                </c:pt>
                <c:pt idx="1262">
                  <c:v>2.7392324805259705</c:v>
                </c:pt>
                <c:pt idx="1263">
                  <c:v>2.7304616793990135</c:v>
                </c:pt>
                <c:pt idx="1264">
                  <c:v>2.7217245819047093</c:v>
                </c:pt>
                <c:pt idx="1265">
                  <c:v>2.7130210334435105</c:v>
                </c:pt>
                <c:pt idx="1266">
                  <c:v>2.7043508868664503</c:v>
                </c:pt>
                <c:pt idx="1267">
                  <c:v>2.6957139885053039</c:v>
                </c:pt>
                <c:pt idx="1268">
                  <c:v>2.6871101893484592</c:v>
                </c:pt>
                <c:pt idx="1269">
                  <c:v>2.6785393441095948</c:v>
                </c:pt>
                <c:pt idx="1270">
                  <c:v>2.6700013000518084</c:v>
                </c:pt>
                <c:pt idx="1271">
                  <c:v>2.6614959146827459</c:v>
                </c:pt>
                <c:pt idx="1272">
                  <c:v>2.6530230389907956</c:v>
                </c:pt>
                <c:pt idx="1273">
                  <c:v>2.6445825276896358</c:v>
                </c:pt>
                <c:pt idx="1274">
                  <c:v>2.6361742373555899</c:v>
                </c:pt>
                <c:pt idx="1275">
                  <c:v>2.6277980217710137</c:v>
                </c:pt>
                <c:pt idx="1276">
                  <c:v>2.619453739374876</c:v>
                </c:pt>
                <c:pt idx="1277">
                  <c:v>2.6111412467435002</c:v>
                </c:pt>
                <c:pt idx="1278">
                  <c:v>2.6028604032471776</c:v>
                </c:pt>
                <c:pt idx="1279">
                  <c:v>2.5946110663935542</c:v>
                </c:pt>
                <c:pt idx="1280">
                  <c:v>2.5863930955529213</c:v>
                </c:pt>
                <c:pt idx="1281">
                  <c:v>2.5782063519582152</c:v>
                </c:pt>
                <c:pt idx="1282">
                  <c:v>2.5700506968423724</c:v>
                </c:pt>
                <c:pt idx="1283">
                  <c:v>2.5619259914383292</c:v>
                </c:pt>
                <c:pt idx="1284">
                  <c:v>2.553832096979022</c:v>
                </c:pt>
                <c:pt idx="1285">
                  <c:v>2.5457688802853227</c:v>
                </c:pt>
                <c:pt idx="1286">
                  <c:v>2.5377362007275224</c:v>
                </c:pt>
                <c:pt idx="1287">
                  <c:v>2.5297339260578156</c:v>
                </c:pt>
                <c:pt idx="1288">
                  <c:v>2.5217619193717837</c:v>
                </c:pt>
                <c:pt idx="1289">
                  <c:v>2.5138200484216213</c:v>
                </c:pt>
                <c:pt idx="1290">
                  <c:v>2.5059081790968776</c:v>
                </c:pt>
                <c:pt idx="1291">
                  <c:v>2.4980261782184243</c:v>
                </c:pt>
                <c:pt idx="1292">
                  <c:v>2.4901739144697785</c:v>
                </c:pt>
                <c:pt idx="1293">
                  <c:v>2.4823512556031346</c:v>
                </c:pt>
                <c:pt idx="1294">
                  <c:v>2.4745580721646547</c:v>
                </c:pt>
                <c:pt idx="1295">
                  <c:v>2.4667942319065332</c:v>
                </c:pt>
                <c:pt idx="1296">
                  <c:v>2.4590596091002226</c:v>
                </c:pt>
                <c:pt idx="1297">
                  <c:v>2.4513540714979172</c:v>
                </c:pt>
                <c:pt idx="1298">
                  <c:v>2.4436774915084243</c:v>
                </c:pt>
                <c:pt idx="1299">
                  <c:v>2.4360297443345189</c:v>
                </c:pt>
                <c:pt idx="1300">
                  <c:v>2.4284107005223632</c:v>
                </c:pt>
                <c:pt idx="1301">
                  <c:v>2.4208202352747321</c:v>
                </c:pt>
                <c:pt idx="1302">
                  <c:v>2.4132582219317555</c:v>
                </c:pt>
                <c:pt idx="1303">
                  <c:v>2.4057245366275311</c:v>
                </c:pt>
                <c:pt idx="1304">
                  <c:v>2.3982190554961562</c:v>
                </c:pt>
                <c:pt idx="1305">
                  <c:v>2.390741653740406</c:v>
                </c:pt>
                <c:pt idx="1306">
                  <c:v>2.3832922084257007</c:v>
                </c:pt>
                <c:pt idx="1307">
                  <c:v>2.3758705984801054</c:v>
                </c:pt>
                <c:pt idx="1308">
                  <c:v>2.3684767009690404</c:v>
                </c:pt>
                <c:pt idx="1309">
                  <c:v>2.3611103948205709</c:v>
                </c:pt>
                <c:pt idx="1310">
                  <c:v>2.3537715598940849</c:v>
                </c:pt>
                <c:pt idx="1311">
                  <c:v>2.3464600760489702</c:v>
                </c:pt>
                <c:pt idx="1312">
                  <c:v>2.3391758240759373</c:v>
                </c:pt>
                <c:pt idx="1313">
                  <c:v>2.3319186856970191</c:v>
                </c:pt>
                <c:pt idx="1314">
                  <c:v>2.3246885417029262</c:v>
                </c:pt>
                <c:pt idx="1315">
                  <c:v>2.317485274747014</c:v>
                </c:pt>
                <c:pt idx="1316">
                  <c:v>2.3103087693452835</c:v>
                </c:pt>
                <c:pt idx="1317">
                  <c:v>2.303158906288445</c:v>
                </c:pt>
                <c:pt idx="1318">
                  <c:v>2.296035572886467</c:v>
                </c:pt>
                <c:pt idx="1319">
                  <c:v>2.2889386527240276</c:v>
                </c:pt>
                <c:pt idx="1320">
                  <c:v>2.2818680303171277</c:v>
                </c:pt>
                <c:pt idx="1321">
                  <c:v>2.2748235920444131</c:v>
                </c:pt>
                <c:pt idx="1322">
                  <c:v>2.2678052252158523</c:v>
                </c:pt>
                <c:pt idx="1323">
                  <c:v>2.2608128152787685</c:v>
                </c:pt>
                <c:pt idx="1324">
                  <c:v>2.2538462523370981</c:v>
                </c:pt>
                <c:pt idx="1325">
                  <c:v>2.2469054218381643</c:v>
                </c:pt>
                <c:pt idx="1326">
                  <c:v>2.2399902148172259</c:v>
                </c:pt>
                <c:pt idx="1327">
                  <c:v>2.2331005185842514</c:v>
                </c:pt>
                <c:pt idx="1328">
                  <c:v>2.2262362241744995</c:v>
                </c:pt>
                <c:pt idx="1329">
                  <c:v>2.219397222623229</c:v>
                </c:pt>
                <c:pt idx="1330">
                  <c:v>2.2125834031030536</c:v>
                </c:pt>
                <c:pt idx="1331">
                  <c:v>2.2057946575805545</c:v>
                </c:pt>
                <c:pt idx="1332">
                  <c:v>2.1990308798849583</c:v>
                </c:pt>
                <c:pt idx="1333">
                  <c:v>2.1922919591888785</c:v>
                </c:pt>
                <c:pt idx="1334">
                  <c:v>2.1855777921155095</c:v>
                </c:pt>
                <c:pt idx="1335">
                  <c:v>2.1788882706314325</c:v>
                </c:pt>
                <c:pt idx="1336">
                  <c:v>2.1722232876345515</c:v>
                </c:pt>
                <c:pt idx="1337">
                  <c:v>2.1655827406793833</c:v>
                </c:pt>
                <c:pt idx="1338">
                  <c:v>2.1589665217325091</c:v>
                </c:pt>
                <c:pt idx="1339">
                  <c:v>2.1523745292797685</c:v>
                </c:pt>
                <c:pt idx="1340">
                  <c:v>2.1458066580817103</c:v>
                </c:pt>
                <c:pt idx="1341">
                  <c:v>2.1392628038302064</c:v>
                </c:pt>
                <c:pt idx="1342">
                  <c:v>2.1327428659424186</c:v>
                </c:pt>
                <c:pt idx="1343">
                  <c:v>2.1262467410415411</c:v>
                </c:pt>
                <c:pt idx="1344">
                  <c:v>2.1197743276134133</c:v>
                </c:pt>
                <c:pt idx="1345">
                  <c:v>2.1133255241438746</c:v>
                </c:pt>
                <c:pt idx="1346">
                  <c:v>2.106900230050087</c:v>
                </c:pt>
                <c:pt idx="1347">
                  <c:v>2.1004983447492123</c:v>
                </c:pt>
                <c:pt idx="1348">
                  <c:v>2.094119768589735</c:v>
                </c:pt>
                <c:pt idx="1349">
                  <c:v>2.0877644028514624</c:v>
                </c:pt>
                <c:pt idx="1350">
                  <c:v>2.0814321488142014</c:v>
                </c:pt>
                <c:pt idx="1351">
                  <c:v>2.0751229049637914</c:v>
                </c:pt>
                <c:pt idx="1352">
                  <c:v>2.0688365781679749</c:v>
                </c:pt>
                <c:pt idx="1353">
                  <c:v>2.0625730687752366</c:v>
                </c:pt>
                <c:pt idx="1354">
                  <c:v>2.056332278996706</c:v>
                </c:pt>
                <c:pt idx="1355">
                  <c:v>2.0501141147688031</c:v>
                </c:pt>
                <c:pt idx="1356">
                  <c:v>2.0439184783026576</c:v>
                </c:pt>
                <c:pt idx="1357">
                  <c:v>2.0377452736720443</c:v>
                </c:pt>
                <c:pt idx="1358">
                  <c:v>2.0315944077447057</c:v>
                </c:pt>
                <c:pt idx="1359">
                  <c:v>2.025465783663094</c:v>
                </c:pt>
                <c:pt idx="1360">
                  <c:v>2.0193593110889196</c:v>
                </c:pt>
                <c:pt idx="1361">
                  <c:v>2.0132748922333121</c:v>
                </c:pt>
                <c:pt idx="1362">
                  <c:v>2.0072124358266592</c:v>
                </c:pt>
                <c:pt idx="1363">
                  <c:v>2.0011718487367034</c:v>
                </c:pt>
                <c:pt idx="1364">
                  <c:v>1.9951530387625098</c:v>
                </c:pt>
                <c:pt idx="1365">
                  <c:v>1.9891559146344662</c:v>
                </c:pt>
                <c:pt idx="1366">
                  <c:v>1.9831803850829601</c:v>
                </c:pt>
                <c:pt idx="1367">
                  <c:v>1.9772263569757342</c:v>
                </c:pt>
                <c:pt idx="1368">
                  <c:v>1.9712937418371439</c:v>
                </c:pt>
                <c:pt idx="1369">
                  <c:v>1.9653824493288994</c:v>
                </c:pt>
                <c:pt idx="1370">
                  <c:v>1.9594923900440335</c:v>
                </c:pt>
                <c:pt idx="1371">
                  <c:v>1.9536234736442566</c:v>
                </c:pt>
                <c:pt idx="1372">
                  <c:v>1.9477756125852466</c:v>
                </c:pt>
                <c:pt idx="1373">
                  <c:v>1.9419487174600363</c:v>
                </c:pt>
                <c:pt idx="1374">
                  <c:v>1.9361426997929811</c:v>
                </c:pt>
                <c:pt idx="1375">
                  <c:v>1.9303574748337269</c:v>
                </c:pt>
                <c:pt idx="1376">
                  <c:v>1.9245929541066289</c:v>
                </c:pt>
                <c:pt idx="1377">
                  <c:v>1.91884904820472</c:v>
                </c:pt>
                <c:pt idx="1378">
                  <c:v>1.9131256761029363</c:v>
                </c:pt>
                <c:pt idx="1379">
                  <c:v>1.9074227474629879</c:v>
                </c:pt>
                <c:pt idx="1380">
                  <c:v>1.9017401784658432</c:v>
                </c:pt>
                <c:pt idx="1381">
                  <c:v>1.8960778843611479</c:v>
                </c:pt>
                <c:pt idx="1382">
                  <c:v>1.8904357803985476</c:v>
                </c:pt>
                <c:pt idx="1383">
                  <c:v>1.8848137827590108</c:v>
                </c:pt>
                <c:pt idx="1384">
                  <c:v>1.8792118076235056</c:v>
                </c:pt>
                <c:pt idx="1385">
                  <c:v>1.8736297702416778</c:v>
                </c:pt>
                <c:pt idx="1386">
                  <c:v>1.8680675895884633</c:v>
                </c:pt>
                <c:pt idx="1387">
                  <c:v>1.8625251809135079</c:v>
                </c:pt>
                <c:pt idx="1388">
                  <c:v>1.8570024641230702</c:v>
                </c:pt>
                <c:pt idx="1389">
                  <c:v>1.8514993553981185</c:v>
                </c:pt>
                <c:pt idx="1390">
                  <c:v>1.8460157755762339</c:v>
                </c:pt>
                <c:pt idx="1391">
                  <c:v>1.8405516417697072</c:v>
                </c:pt>
                <c:pt idx="1392">
                  <c:v>1.8351068729534745</c:v>
                </c:pt>
                <c:pt idx="1393">
                  <c:v>1.8296813918277621</c:v>
                </c:pt>
                <c:pt idx="1394">
                  <c:v>1.8242751155048609</c:v>
                </c:pt>
                <c:pt idx="1395">
                  <c:v>1.8188879666849971</c:v>
                </c:pt>
                <c:pt idx="1396">
                  <c:v>1.8135198634117842</c:v>
                </c:pt>
                <c:pt idx="1397">
                  <c:v>1.808170729316771</c:v>
                </c:pt>
                <c:pt idx="1398">
                  <c:v>1.8028404852375388</c:v>
                </c:pt>
                <c:pt idx="1399">
                  <c:v>1.7975290538743138</c:v>
                </c:pt>
                <c:pt idx="1400">
                  <c:v>1.7922363560646772</c:v>
                </c:pt>
                <c:pt idx="1401">
                  <c:v>1.7869623154401779</c:v>
                </c:pt>
                <c:pt idx="1402">
                  <c:v>1.7817068565636873</c:v>
                </c:pt>
                <c:pt idx="1403">
                  <c:v>1.7764699002727866</c:v>
                </c:pt>
                <c:pt idx="1404">
                  <c:v>1.7712513720616698</c:v>
                </c:pt>
                <c:pt idx="1405">
                  <c:v>1.7660511936992407</c:v>
                </c:pt>
                <c:pt idx="1406">
                  <c:v>1.7608692953363061</c:v>
                </c:pt>
                <c:pt idx="1407">
                  <c:v>1.7557055950164795</c:v>
                </c:pt>
                <c:pt idx="1408">
                  <c:v>1.7505600228905678</c:v>
                </c:pt>
                <c:pt idx="1409">
                  <c:v>1.7454325016587973</c:v>
                </c:pt>
                <c:pt idx="1410">
                  <c:v>1.7403229596093297</c:v>
                </c:pt>
                <c:pt idx="1411">
                  <c:v>1.735231320373714</c:v>
                </c:pt>
                <c:pt idx="1412">
                  <c:v>1.730157514102757</c:v>
                </c:pt>
                <c:pt idx="1413">
                  <c:v>1.7251014644280076</c:v>
                </c:pt>
                <c:pt idx="1414">
                  <c:v>1.7200631005689502</c:v>
                </c:pt>
                <c:pt idx="1415">
                  <c:v>1.7150423498824239</c:v>
                </c:pt>
                <c:pt idx="1416">
                  <c:v>1.7100391397252679</c:v>
                </c:pt>
                <c:pt idx="1417">
                  <c:v>1.705053398385644</c:v>
                </c:pt>
                <c:pt idx="1418">
                  <c:v>1.7000850569456816</c:v>
                </c:pt>
                <c:pt idx="1419">
                  <c:v>1.6951340408995748</c:v>
                </c:pt>
                <c:pt idx="1420">
                  <c:v>1.6902002822607756</c:v>
                </c:pt>
                <c:pt idx="1421">
                  <c:v>1.6852837093174458</c:v>
                </c:pt>
                <c:pt idx="1422">
                  <c:v>1.6803842531517148</c:v>
                </c:pt>
                <c:pt idx="1423">
                  <c:v>1.6755018420517445</c:v>
                </c:pt>
                <c:pt idx="1424">
                  <c:v>1.6706364098936319</c:v>
                </c:pt>
                <c:pt idx="1425">
                  <c:v>1.665787884965539</c:v>
                </c:pt>
                <c:pt idx="1426">
                  <c:v>1.6609562002122402</c:v>
                </c:pt>
                <c:pt idx="1427">
                  <c:v>1.6561412857845426</c:v>
                </c:pt>
                <c:pt idx="1428">
                  <c:v>1.6513430746272206</c:v>
                </c:pt>
                <c:pt idx="1429">
                  <c:v>1.6465614987537265</c:v>
                </c:pt>
                <c:pt idx="1430">
                  <c:v>1.6417964911088347</c:v>
                </c:pt>
                <c:pt idx="1431">
                  <c:v>1.63704798463732</c:v>
                </c:pt>
                <c:pt idx="1432">
                  <c:v>1.6323159113526344</c:v>
                </c:pt>
                <c:pt idx="1433">
                  <c:v>1.6276002060621977</c:v>
                </c:pt>
                <c:pt idx="1434">
                  <c:v>1.622900802642107</c:v>
                </c:pt>
                <c:pt idx="1435">
                  <c:v>1.618217634037137</c:v>
                </c:pt>
                <c:pt idx="1436">
                  <c:v>1.6135506359860301</c:v>
                </c:pt>
                <c:pt idx="1437">
                  <c:v>1.6088997414335608</c:v>
                </c:pt>
                <c:pt idx="1438">
                  <c:v>1.6042648889124393</c:v>
                </c:pt>
                <c:pt idx="1439">
                  <c:v>1.5996460095047951</c:v>
                </c:pt>
                <c:pt idx="1440">
                  <c:v>1.5950430417433381</c:v>
                </c:pt>
                <c:pt idx="1441">
                  <c:v>1.5904559204354882</c:v>
                </c:pt>
                <c:pt idx="1442">
                  <c:v>1.5858845831826329</c:v>
                </c:pt>
                <c:pt idx="1443">
                  <c:v>1.5813289629295468</c:v>
                </c:pt>
                <c:pt idx="1444">
                  <c:v>1.5767890019342303</c:v>
                </c:pt>
                <c:pt idx="1445">
                  <c:v>1.5722646322101355</c:v>
                </c:pt>
                <c:pt idx="1446">
                  <c:v>1.56775579508394</c:v>
                </c:pt>
                <c:pt idx="1447">
                  <c:v>1.5632624253630638</c:v>
                </c:pt>
                <c:pt idx="1448">
                  <c:v>1.5587844615802169</c:v>
                </c:pt>
                <c:pt idx="1449">
                  <c:v>1.5543218441307545</c:v>
                </c:pt>
                <c:pt idx="1450">
                  <c:v>1.5498745087534189</c:v>
                </c:pt>
                <c:pt idx="1451">
                  <c:v>1.5454423977062106</c:v>
                </c:pt>
                <c:pt idx="1452">
                  <c:v>1.5410254448652267</c:v>
                </c:pt>
                <c:pt idx="1453">
                  <c:v>1.5366235952824354</c:v>
                </c:pt>
                <c:pt idx="1454">
                  <c:v>1.5322367856279016</c:v>
                </c:pt>
                <c:pt idx="1455">
                  <c:v>1.5278649544343352</c:v>
                </c:pt>
                <c:pt idx="1456">
                  <c:v>1.5235080467537045</c:v>
                </c:pt>
                <c:pt idx="1457">
                  <c:v>1.5191659973934293</c:v>
                </c:pt>
                <c:pt idx="1458">
                  <c:v>1.5148387523368001</c:v>
                </c:pt>
                <c:pt idx="1459">
                  <c:v>1.5105262482538819</c:v>
                </c:pt>
                <c:pt idx="1460">
                  <c:v>1.5062284292653203</c:v>
                </c:pt>
                <c:pt idx="1461">
                  <c:v>1.5019452348351479</c:v>
                </c:pt>
                <c:pt idx="1462">
                  <c:v>1.4976766100153327</c:v>
                </c:pt>
                <c:pt idx="1463">
                  <c:v>1.4934224933385849</c:v>
                </c:pt>
                <c:pt idx="1464">
                  <c:v>1.4891828298568726</c:v>
                </c:pt>
                <c:pt idx="1465">
                  <c:v>1.4849575608968735</c:v>
                </c:pt>
                <c:pt idx="1466">
                  <c:v>1.480746628716588</c:v>
                </c:pt>
                <c:pt idx="1467">
                  <c:v>1.4765499783679843</c:v>
                </c:pt>
                <c:pt idx="1468">
                  <c:v>1.4723675511777401</c:v>
                </c:pt>
                <c:pt idx="1469">
                  <c:v>1.4681992921978235</c:v>
                </c:pt>
                <c:pt idx="1470">
                  <c:v>1.4640451455488801</c:v>
                </c:pt>
                <c:pt idx="1471">
                  <c:v>1.4599050553515553</c:v>
                </c:pt>
                <c:pt idx="1472">
                  <c:v>1.4557789647951722</c:v>
                </c:pt>
                <c:pt idx="1473">
                  <c:v>1.4516668189316988</c:v>
                </c:pt>
                <c:pt idx="1474">
                  <c:v>1.4475685637444258</c:v>
                </c:pt>
                <c:pt idx="1475">
                  <c:v>1.4434841442853212</c:v>
                </c:pt>
                <c:pt idx="1476">
                  <c:v>1.4394135046750307</c:v>
                </c:pt>
                <c:pt idx="1477">
                  <c:v>1.4353565918281674</c:v>
                </c:pt>
                <c:pt idx="1478">
                  <c:v>1.4313133517280221</c:v>
                </c:pt>
                <c:pt idx="1479">
                  <c:v>1.4272837284952402</c:v>
                </c:pt>
                <c:pt idx="1480">
                  <c:v>1.4232676727697253</c:v>
                </c:pt>
                <c:pt idx="1481">
                  <c:v>1.4192651258781552</c:v>
                </c:pt>
                <c:pt idx="1482">
                  <c:v>1.4152760393917561</c:v>
                </c:pt>
                <c:pt idx="1483">
                  <c:v>1.4113003574311733</c:v>
                </c:pt>
                <c:pt idx="1484">
                  <c:v>1.4073380287736654</c:v>
                </c:pt>
                <c:pt idx="1485">
                  <c:v>1.4033890012651682</c:v>
                </c:pt>
                <c:pt idx="1486">
                  <c:v>1.3994532218202949</c:v>
                </c:pt>
                <c:pt idx="1487">
                  <c:v>1.3955306392163038</c:v>
                </c:pt>
                <c:pt idx="1488">
                  <c:v>1.3916211994364858</c:v>
                </c:pt>
                <c:pt idx="1489">
                  <c:v>1.3877248568460345</c:v>
                </c:pt>
                <c:pt idx="1490">
                  <c:v>1.3838415527716279</c:v>
                </c:pt>
                <c:pt idx="1491">
                  <c:v>1.3799712415784597</c:v>
                </c:pt>
                <c:pt idx="1492">
                  <c:v>1.3761138711124659</c:v>
                </c:pt>
                <c:pt idx="1493">
                  <c:v>1.3722693892195821</c:v>
                </c:pt>
                <c:pt idx="1494">
                  <c:v>1.3684377484023571</c:v>
                </c:pt>
                <c:pt idx="1495">
                  <c:v>1.3646188965067267</c:v>
                </c:pt>
                <c:pt idx="1496">
                  <c:v>1.360812783241272</c:v>
                </c:pt>
                <c:pt idx="1497">
                  <c:v>1.3570193620398641</c:v>
                </c:pt>
                <c:pt idx="1498">
                  <c:v>1.3532385798171163</c:v>
                </c:pt>
                <c:pt idx="1499">
                  <c:v>1.3494703890755773</c:v>
                </c:pt>
                <c:pt idx="1500">
                  <c:v>1.3457147423177958</c:v>
                </c:pt>
                <c:pt idx="1501">
                  <c:v>1.3419715873897076</c:v>
                </c:pt>
                <c:pt idx="1502">
                  <c:v>1.3382408786565065</c:v>
                </c:pt>
                <c:pt idx="1503">
                  <c:v>1.3345225658267736</c:v>
                </c:pt>
                <c:pt idx="1504">
                  <c:v>1.3308166023343801</c:v>
                </c:pt>
                <c:pt idx="1505">
                  <c:v>1.3271229397505522</c:v>
                </c:pt>
                <c:pt idx="1506">
                  <c:v>1.3234415305778384</c:v>
                </c:pt>
                <c:pt idx="1507">
                  <c:v>1.319772326387465</c:v>
                </c:pt>
                <c:pt idx="1508">
                  <c:v>1.3161152806133032</c:v>
                </c:pt>
                <c:pt idx="1509">
                  <c:v>1.3124703466892242</c:v>
                </c:pt>
                <c:pt idx="1510">
                  <c:v>1.3088374761864543</c:v>
                </c:pt>
                <c:pt idx="1511">
                  <c:v>1.3052166262641549</c:v>
                </c:pt>
                <c:pt idx="1512">
                  <c:v>1.3016077447682619</c:v>
                </c:pt>
                <c:pt idx="1513">
                  <c:v>1.2980107897892594</c:v>
                </c:pt>
                <c:pt idx="1514">
                  <c:v>1.2944257138296962</c:v>
                </c:pt>
                <c:pt idx="1515">
                  <c:v>1.2908524721860886</c:v>
                </c:pt>
                <c:pt idx="1516">
                  <c:v>1.2872910182923079</c:v>
                </c:pt>
                <c:pt idx="1517">
                  <c:v>1.2837413046509027</c:v>
                </c:pt>
                <c:pt idx="1518">
                  <c:v>1.2802032912150025</c:v>
                </c:pt>
                <c:pt idx="1519">
                  <c:v>1.2766769276931882</c:v>
                </c:pt>
                <c:pt idx="1520">
                  <c:v>1.2731621731072664</c:v>
                </c:pt>
                <c:pt idx="1521">
                  <c:v>1.2696589799597859</c:v>
                </c:pt>
                <c:pt idx="1522">
                  <c:v>1.2661673063412309</c:v>
                </c:pt>
                <c:pt idx="1523">
                  <c:v>1.2626871066167951</c:v>
                </c:pt>
                <c:pt idx="1524">
                  <c:v>1.2592183370143175</c:v>
                </c:pt>
                <c:pt idx="1525">
                  <c:v>1.2557609528303146</c:v>
                </c:pt>
                <c:pt idx="1526">
                  <c:v>1.2523149130865932</c:v>
                </c:pt>
                <c:pt idx="1527">
                  <c:v>1.2488801712170243</c:v>
                </c:pt>
                <c:pt idx="1528">
                  <c:v>1.2454566853120923</c:v>
                </c:pt>
                <c:pt idx="1529">
                  <c:v>1.2420444125309587</c:v>
                </c:pt>
                <c:pt idx="1530">
                  <c:v>1.2386433100327849</c:v>
                </c:pt>
                <c:pt idx="1531">
                  <c:v>1.2352533359080553</c:v>
                </c:pt>
                <c:pt idx="1532">
                  <c:v>1.2318744445219636</c:v>
                </c:pt>
                <c:pt idx="1533">
                  <c:v>1.2285065958276391</c:v>
                </c:pt>
                <c:pt idx="1534">
                  <c:v>1.2251497497782111</c:v>
                </c:pt>
                <c:pt idx="1535">
                  <c:v>1.2218038598075509</c:v>
                </c:pt>
                <c:pt idx="1536">
                  <c:v>1.2184688877314329</c:v>
                </c:pt>
                <c:pt idx="1537">
                  <c:v>1.2151447907090187</c:v>
                </c:pt>
                <c:pt idx="1538">
                  <c:v>1.2118315268307924</c:v>
                </c:pt>
                <c:pt idx="1539">
                  <c:v>1.2085290569812059</c:v>
                </c:pt>
                <c:pt idx="1540">
                  <c:v>1.2052373364567757</c:v>
                </c:pt>
                <c:pt idx="1541">
                  <c:v>1.201956327073276</c:v>
                </c:pt>
                <c:pt idx="1542">
                  <c:v>1.1986859887838364</c:v>
                </c:pt>
                <c:pt idx="1543">
                  <c:v>1.1954262796789408</c:v>
                </c:pt>
                <c:pt idx="1544">
                  <c:v>1.192177158780396</c:v>
                </c:pt>
                <c:pt idx="1545">
                  <c:v>1.1889385869726539</c:v>
                </c:pt>
                <c:pt idx="1546">
                  <c:v>1.1857105242088437</c:v>
                </c:pt>
                <c:pt idx="1547">
                  <c:v>1.1824929313734174</c:v>
                </c:pt>
                <c:pt idx="1548">
                  <c:v>1.1792857674881816</c:v>
                </c:pt>
                <c:pt idx="1549">
                  <c:v>1.1760889934375882</c:v>
                </c:pt>
                <c:pt idx="1550">
                  <c:v>1.1729025701060891</c:v>
                </c:pt>
                <c:pt idx="1551">
                  <c:v>1.1697264593094587</c:v>
                </c:pt>
                <c:pt idx="1552">
                  <c:v>1.1665606210008264</c:v>
                </c:pt>
                <c:pt idx="1553">
                  <c:v>1.1634050151333213</c:v>
                </c:pt>
                <c:pt idx="1554">
                  <c:v>1.1602596063166857</c:v>
                </c:pt>
                <c:pt idx="1555">
                  <c:v>1.1571243545040488</c:v>
                </c:pt>
                <c:pt idx="1556">
                  <c:v>1.15399921964854</c:v>
                </c:pt>
                <c:pt idx="1557">
                  <c:v>1.1508841663599014</c:v>
                </c:pt>
                <c:pt idx="1558">
                  <c:v>1.1477791555225849</c:v>
                </c:pt>
                <c:pt idx="1559">
                  <c:v>1.1446841498836875</c:v>
                </c:pt>
                <c:pt idx="1560">
                  <c:v>1.141599110327661</c:v>
                </c:pt>
                <c:pt idx="1561">
                  <c:v>1.1385240014642477</c:v>
                </c:pt>
                <c:pt idx="1562">
                  <c:v>1.1354587851092219</c:v>
                </c:pt>
                <c:pt idx="1563">
                  <c:v>1.1324034230783582</c:v>
                </c:pt>
                <c:pt idx="1564">
                  <c:v>1.129357879050076</c:v>
                </c:pt>
                <c:pt idx="1565">
                  <c:v>1.1263221176341176</c:v>
                </c:pt>
                <c:pt idx="1566">
                  <c:v>1.1232960997149348</c:v>
                </c:pt>
                <c:pt idx="1567">
                  <c:v>1.1202797908335924</c:v>
                </c:pt>
                <c:pt idx="1568">
                  <c:v>1.11727315466851</c:v>
                </c:pt>
                <c:pt idx="1569">
                  <c:v>1.1142761530354619</c:v>
                </c:pt>
                <c:pt idx="1570">
                  <c:v>1.111288751475513</c:v>
                </c:pt>
                <c:pt idx="1571">
                  <c:v>1.1083109136670828</c:v>
                </c:pt>
                <c:pt idx="1572">
                  <c:v>1.1053426042199135</c:v>
                </c:pt>
                <c:pt idx="1573">
                  <c:v>1.1023837868124247</c:v>
                </c:pt>
                <c:pt idx="1574">
                  <c:v>1.0994344269856811</c:v>
                </c:pt>
                <c:pt idx="1575">
                  <c:v>1.0964944884181023</c:v>
                </c:pt>
                <c:pt idx="1576">
                  <c:v>1.093563936650753</c:v>
                </c:pt>
                <c:pt idx="1577">
                  <c:v>1.0906427381560206</c:v>
                </c:pt>
                <c:pt idx="1578">
                  <c:v>1.0877308547496796</c:v>
                </c:pt>
                <c:pt idx="1579">
                  <c:v>1.0848282538354397</c:v>
                </c:pt>
                <c:pt idx="1580">
                  <c:v>1.0819349000230432</c:v>
                </c:pt>
                <c:pt idx="1581">
                  <c:v>1.0790507616475224</c:v>
                </c:pt>
                <c:pt idx="1582">
                  <c:v>1.0761758014559746</c:v>
                </c:pt>
                <c:pt idx="1583">
                  <c:v>1.0733099849894643</c:v>
                </c:pt>
                <c:pt idx="1584">
                  <c:v>1.0704532815143466</c:v>
                </c:pt>
                <c:pt idx="1585">
                  <c:v>1.0676056547090411</c:v>
                </c:pt>
                <c:pt idx="1586">
                  <c:v>1.0647670701146126</c:v>
                </c:pt>
                <c:pt idx="1587">
                  <c:v>1.061937496997416</c:v>
                </c:pt>
                <c:pt idx="1588">
                  <c:v>1.0591169008985162</c:v>
                </c:pt>
                <c:pt idx="1589">
                  <c:v>1.0563052482903004</c:v>
                </c:pt>
                <c:pt idx="1590">
                  <c:v>1.0535025047138333</c:v>
                </c:pt>
                <c:pt idx="1591">
                  <c:v>1.0507086403667927</c:v>
                </c:pt>
                <c:pt idx="1592">
                  <c:v>1.0479236198589206</c:v>
                </c:pt>
                <c:pt idx="1593">
                  <c:v>1.0451474115252495</c:v>
                </c:pt>
                <c:pt idx="1594">
                  <c:v>1.0423799827694893</c:v>
                </c:pt>
                <c:pt idx="1595">
                  <c:v>1.0396213009953499</c:v>
                </c:pt>
                <c:pt idx="1596">
                  <c:v>1.0368713336065412</c:v>
                </c:pt>
                <c:pt idx="1597">
                  <c:v>1.0341300498694181</c:v>
                </c:pt>
                <c:pt idx="1598">
                  <c:v>1.0313974162563682</c:v>
                </c:pt>
                <c:pt idx="1599">
                  <c:v>1.0286734020337462</c:v>
                </c:pt>
                <c:pt idx="1600">
                  <c:v>1.0259579746052623</c:v>
                </c:pt>
                <c:pt idx="1601">
                  <c:v>1.0232511032372713</c:v>
                </c:pt>
                <c:pt idx="1602">
                  <c:v>1.0205527553334832</c:v>
                </c:pt>
                <c:pt idx="1603">
                  <c:v>1.0178629010915756</c:v>
                </c:pt>
                <c:pt idx="1604">
                  <c:v>1.015181508846581</c:v>
                </c:pt>
                <c:pt idx="1605">
                  <c:v>1.0125085460022092</c:v>
                </c:pt>
                <c:pt idx="1606">
                  <c:v>1.0098439836874604</c:v>
                </c:pt>
                <c:pt idx="1607">
                  <c:v>1.0071877893060446</c:v>
                </c:pt>
                <c:pt idx="1608">
                  <c:v>1.0045399349182844</c:v>
                </c:pt>
                <c:pt idx="1609">
                  <c:v>1.0019003869965672</c:v>
                </c:pt>
                <c:pt idx="1610">
                  <c:v>0.99926911666989326</c:v>
                </c:pt>
                <c:pt idx="1611">
                  <c:v>0.9966460932046175</c:v>
                </c:pt>
                <c:pt idx="1612">
                  <c:v>0.99403128772974014</c:v>
                </c:pt>
                <c:pt idx="1613">
                  <c:v>0.99142466671764851</c:v>
                </c:pt>
                <c:pt idx="1614">
                  <c:v>0.98882620595395565</c:v>
                </c:pt>
                <c:pt idx="1615">
                  <c:v>0.98623587004840374</c:v>
                </c:pt>
                <c:pt idx="1616">
                  <c:v>0.98365363199263811</c:v>
                </c:pt>
                <c:pt idx="1617">
                  <c:v>0.98107946291565895</c:v>
                </c:pt>
                <c:pt idx="1618">
                  <c:v>0.97851333115249872</c:v>
                </c:pt>
                <c:pt idx="1619">
                  <c:v>0.97595521062612534</c:v>
                </c:pt>
                <c:pt idx="1620">
                  <c:v>0.97340506874024868</c:v>
                </c:pt>
                <c:pt idx="1621">
                  <c:v>0.97086287848651409</c:v>
                </c:pt>
                <c:pt idx="1622">
                  <c:v>0.96832861006259918</c:v>
                </c:pt>
                <c:pt idx="1623">
                  <c:v>0.96580223646014929</c:v>
                </c:pt>
                <c:pt idx="1624">
                  <c:v>0.96328372601419687</c:v>
                </c:pt>
                <c:pt idx="1625">
                  <c:v>0.96077305264770985</c:v>
                </c:pt>
                <c:pt idx="1626">
                  <c:v>0.95827018655836582</c:v>
                </c:pt>
                <c:pt idx="1627">
                  <c:v>0.95577510073781013</c:v>
                </c:pt>
                <c:pt idx="1628">
                  <c:v>0.95328776631504297</c:v>
                </c:pt>
                <c:pt idx="1629">
                  <c:v>0.95080815348774195</c:v>
                </c:pt>
                <c:pt idx="1630">
                  <c:v>0.94833623804152012</c:v>
                </c:pt>
                <c:pt idx="1631">
                  <c:v>0.94587198831140995</c:v>
                </c:pt>
                <c:pt idx="1632">
                  <c:v>0.9434153800830245</c:v>
                </c:pt>
                <c:pt idx="1633">
                  <c:v>0.94096638169139624</c:v>
                </c:pt>
                <c:pt idx="1634">
                  <c:v>0.93852496892213821</c:v>
                </c:pt>
                <c:pt idx="1635">
                  <c:v>0.93609111290425062</c:v>
                </c:pt>
                <c:pt idx="1636">
                  <c:v>0.93366478756070137</c:v>
                </c:pt>
                <c:pt idx="1637">
                  <c:v>0.93124596495181322</c:v>
                </c:pt>
                <c:pt idx="1638">
                  <c:v>0.92883461713790894</c:v>
                </c:pt>
                <c:pt idx="1639">
                  <c:v>0.92643071804195642</c:v>
                </c:pt>
                <c:pt idx="1640">
                  <c:v>0.92403424065560102</c:v>
                </c:pt>
                <c:pt idx="1641">
                  <c:v>0.92164515983313322</c:v>
                </c:pt>
                <c:pt idx="1642">
                  <c:v>0.9192634467035532</c:v>
                </c:pt>
                <c:pt idx="1643">
                  <c:v>0.91688907518982887</c:v>
                </c:pt>
                <c:pt idx="1644">
                  <c:v>0.91452201921492815</c:v>
                </c:pt>
                <c:pt idx="1645">
                  <c:v>0.91216225363314152</c:v>
                </c:pt>
                <c:pt idx="1646">
                  <c:v>0.90980975050479174</c:v>
                </c:pt>
                <c:pt idx="1647">
                  <c:v>0.90746448468416929</c:v>
                </c:pt>
                <c:pt idx="1648">
                  <c:v>0.90512643102556467</c:v>
                </c:pt>
                <c:pt idx="1649">
                  <c:v>0.90279556065797806</c:v>
                </c:pt>
                <c:pt idx="1650">
                  <c:v>0.90047185122966766</c:v>
                </c:pt>
                <c:pt idx="1651">
                  <c:v>0.89815527573227882</c:v>
                </c:pt>
                <c:pt idx="1652">
                  <c:v>0.89584580808877945</c:v>
                </c:pt>
                <c:pt idx="1653">
                  <c:v>0.8935434240847826</c:v>
                </c:pt>
                <c:pt idx="1654">
                  <c:v>0.89124809764325619</c:v>
                </c:pt>
                <c:pt idx="1655">
                  <c:v>0.8889598036184907</c:v>
                </c:pt>
                <c:pt idx="1656">
                  <c:v>0.88667851500213146</c:v>
                </c:pt>
                <c:pt idx="1657">
                  <c:v>0.88440421223640442</c:v>
                </c:pt>
                <c:pt idx="1658">
                  <c:v>0.88213686365634203</c:v>
                </c:pt>
                <c:pt idx="1659">
                  <c:v>0.87987644970417023</c:v>
                </c:pt>
                <c:pt idx="1660">
                  <c:v>0.87762294244021177</c:v>
                </c:pt>
                <c:pt idx="1661">
                  <c:v>0.87537631951272488</c:v>
                </c:pt>
                <c:pt idx="1662">
                  <c:v>0.87313655391335487</c:v>
                </c:pt>
                <c:pt idx="1663">
                  <c:v>0.87090362329035997</c:v>
                </c:pt>
                <c:pt idx="1664">
                  <c:v>0.86867750249803066</c:v>
                </c:pt>
                <c:pt idx="1665">
                  <c:v>0.86645816825330257</c:v>
                </c:pt>
                <c:pt idx="1666">
                  <c:v>0.86424559541046619</c:v>
                </c:pt>
                <c:pt idx="1667">
                  <c:v>0.86203975975513458</c:v>
                </c:pt>
                <c:pt idx="1668">
                  <c:v>0.85984063800424337</c:v>
                </c:pt>
                <c:pt idx="1669">
                  <c:v>0.8576482068747282</c:v>
                </c:pt>
                <c:pt idx="1670">
                  <c:v>0.85546244028955698</c:v>
                </c:pt>
                <c:pt idx="1671">
                  <c:v>0.85328331775963306</c:v>
                </c:pt>
                <c:pt idx="1672">
                  <c:v>0.85111081413924694</c:v>
                </c:pt>
                <c:pt idx="1673">
                  <c:v>0.84894490614533424</c:v>
                </c:pt>
                <c:pt idx="1674">
                  <c:v>0.84678556956350803</c:v>
                </c:pt>
                <c:pt idx="1675">
                  <c:v>0.84463278390467167</c:v>
                </c:pt>
                <c:pt idx="1676">
                  <c:v>0.84248652216047049</c:v>
                </c:pt>
                <c:pt idx="1677">
                  <c:v>0.84034676291048527</c:v>
                </c:pt>
                <c:pt idx="1678">
                  <c:v>0.83821348566561937</c:v>
                </c:pt>
                <c:pt idx="1679">
                  <c:v>0.83608666434884071</c:v>
                </c:pt>
                <c:pt idx="1680">
                  <c:v>0.8339662766084075</c:v>
                </c:pt>
                <c:pt idx="1681">
                  <c:v>0.83185230195522308</c:v>
                </c:pt>
                <c:pt idx="1682">
                  <c:v>0.82974471431225538</c:v>
                </c:pt>
                <c:pt idx="1683">
                  <c:v>0.82764349412173033</c:v>
                </c:pt>
                <c:pt idx="1684">
                  <c:v>0.82554861810058355</c:v>
                </c:pt>
                <c:pt idx="1685">
                  <c:v>0.82346006389707327</c:v>
                </c:pt>
                <c:pt idx="1686">
                  <c:v>0.82137780822813511</c:v>
                </c:pt>
                <c:pt idx="1687">
                  <c:v>0.81930183060467243</c:v>
                </c:pt>
                <c:pt idx="1688">
                  <c:v>0.81723210774362087</c:v>
                </c:pt>
                <c:pt idx="1689">
                  <c:v>0.81516861729323864</c:v>
                </c:pt>
                <c:pt idx="1690">
                  <c:v>0.81311134155839682</c:v>
                </c:pt>
                <c:pt idx="1691">
                  <c:v>0.81106025166809559</c:v>
                </c:pt>
                <c:pt idx="1692">
                  <c:v>0.80901533178985119</c:v>
                </c:pt>
                <c:pt idx="1693">
                  <c:v>0.80697655770927668</c:v>
                </c:pt>
                <c:pt idx="1694">
                  <c:v>0.80494390800595284</c:v>
                </c:pt>
                <c:pt idx="1695">
                  <c:v>0.8029173631221056</c:v>
                </c:pt>
                <c:pt idx="1696">
                  <c:v>0.80089689791202545</c:v>
                </c:pt>
                <c:pt idx="1697">
                  <c:v>0.79888249468058348</c:v>
                </c:pt>
                <c:pt idx="1698">
                  <c:v>0.79687413107603788</c:v>
                </c:pt>
                <c:pt idx="1699">
                  <c:v>0.79487178567796946</c:v>
                </c:pt>
                <c:pt idx="1700">
                  <c:v>0.79287543706595898</c:v>
                </c:pt>
                <c:pt idx="1701">
                  <c:v>0.79088506661355495</c:v>
                </c:pt>
                <c:pt idx="1702">
                  <c:v>0.78890064917504787</c:v>
                </c:pt>
                <c:pt idx="1703">
                  <c:v>0.78692216891795397</c:v>
                </c:pt>
                <c:pt idx="1704">
                  <c:v>0.7849496016278863</c:v>
                </c:pt>
                <c:pt idx="1705">
                  <c:v>0.78298292867839336</c:v>
                </c:pt>
                <c:pt idx="1706">
                  <c:v>0.78102212771773338</c:v>
                </c:pt>
                <c:pt idx="1707">
                  <c:v>0.77906718011945486</c:v>
                </c:pt>
                <c:pt idx="1708">
                  <c:v>0.77711806446313858</c:v>
                </c:pt>
                <c:pt idx="1709">
                  <c:v>0.77517476119101048</c:v>
                </c:pt>
                <c:pt idx="1710">
                  <c:v>0.77323724888265133</c:v>
                </c:pt>
                <c:pt idx="1711">
                  <c:v>0.77130550891160965</c:v>
                </c:pt>
                <c:pt idx="1712">
                  <c:v>0.7693795207887888</c:v>
                </c:pt>
                <c:pt idx="1713">
                  <c:v>0.76745926402509212</c:v>
                </c:pt>
                <c:pt idx="1714">
                  <c:v>0.76554471906274557</c:v>
                </c:pt>
                <c:pt idx="1715">
                  <c:v>0.76363586634397507</c:v>
                </c:pt>
                <c:pt idx="1716">
                  <c:v>0.7617326844483614</c:v>
                </c:pt>
                <c:pt idx="1717">
                  <c:v>0.75983515754342079</c:v>
                </c:pt>
                <c:pt idx="1718">
                  <c:v>0.75794326234608889</c:v>
                </c:pt>
                <c:pt idx="1719">
                  <c:v>0.75605698116123676</c:v>
                </c:pt>
                <c:pt idx="1720">
                  <c:v>0.75417629349976778</c:v>
                </c:pt>
                <c:pt idx="1721">
                  <c:v>0.75230118166655302</c:v>
                </c:pt>
                <c:pt idx="1722">
                  <c:v>0.75043162517249584</c:v>
                </c:pt>
                <c:pt idx="1723">
                  <c:v>0.74856760445982218</c:v>
                </c:pt>
                <c:pt idx="1724">
                  <c:v>0.74670910183340311</c:v>
                </c:pt>
                <c:pt idx="1725">
                  <c:v>0.74485609773546457</c:v>
                </c:pt>
                <c:pt idx="1726">
                  <c:v>0.74300857167690992</c:v>
                </c:pt>
                <c:pt idx="1727">
                  <c:v>0.74116650782525539</c:v>
                </c:pt>
                <c:pt idx="1728">
                  <c:v>0.73932988476008177</c:v>
                </c:pt>
                <c:pt idx="1729">
                  <c:v>0.73749868385493755</c:v>
                </c:pt>
                <c:pt idx="1730">
                  <c:v>0.73567288927733898</c:v>
                </c:pt>
                <c:pt idx="1731">
                  <c:v>0.73385247960686684</c:v>
                </c:pt>
                <c:pt idx="1732">
                  <c:v>0.73203743621706963</c:v>
                </c:pt>
                <c:pt idx="1733">
                  <c:v>0.73022774141281843</c:v>
                </c:pt>
                <c:pt idx="1734">
                  <c:v>0.72842337843030691</c:v>
                </c:pt>
                <c:pt idx="1735">
                  <c:v>0.726624327711761</c:v>
                </c:pt>
                <c:pt idx="1736">
                  <c:v>0.72483056969940662</c:v>
                </c:pt>
                <c:pt idx="1737">
                  <c:v>0.72304208856076002</c:v>
                </c:pt>
                <c:pt idx="1738">
                  <c:v>0.72125886380672455</c:v>
                </c:pt>
                <c:pt idx="1739">
                  <c:v>0.71948087960481644</c:v>
                </c:pt>
                <c:pt idx="1740">
                  <c:v>0.71770811639726162</c:v>
                </c:pt>
                <c:pt idx="1741">
                  <c:v>0.7159405592828989</c:v>
                </c:pt>
                <c:pt idx="1742">
                  <c:v>0.71417818497866392</c:v>
                </c:pt>
                <c:pt idx="1743">
                  <c:v>0.7124209813773632</c:v>
                </c:pt>
                <c:pt idx="1744">
                  <c:v>0.71066892892122269</c:v>
                </c:pt>
                <c:pt idx="1745">
                  <c:v>0.70892200712114573</c:v>
                </c:pt>
                <c:pt idx="1746">
                  <c:v>0.70718020293861628</c:v>
                </c:pt>
                <c:pt idx="1747">
                  <c:v>0.7054434958845377</c:v>
                </c:pt>
                <c:pt idx="1748">
                  <c:v>0.70371187012642622</c:v>
                </c:pt>
                <c:pt idx="1749">
                  <c:v>0.70198530796915293</c:v>
                </c:pt>
                <c:pt idx="1750">
                  <c:v>0.70026379264891148</c:v>
                </c:pt>
                <c:pt idx="1751">
                  <c:v>0.6985473046079278</c:v>
                </c:pt>
                <c:pt idx="1752">
                  <c:v>0.69683582987636328</c:v>
                </c:pt>
                <c:pt idx="1753">
                  <c:v>0.69512934889644384</c:v>
                </c:pt>
                <c:pt idx="1754">
                  <c:v>0.69342784769833088</c:v>
                </c:pt>
                <c:pt idx="1755">
                  <c:v>0.69173130579292774</c:v>
                </c:pt>
                <c:pt idx="1756">
                  <c:v>0.69003970827907324</c:v>
                </c:pt>
                <c:pt idx="1757">
                  <c:v>0.6883530393242836</c:v>
                </c:pt>
                <c:pt idx="1758">
                  <c:v>0.68667127937078476</c:v>
                </c:pt>
                <c:pt idx="1759">
                  <c:v>0.68499441538006067</c:v>
                </c:pt>
                <c:pt idx="1760">
                  <c:v>0.6833224268630147</c:v>
                </c:pt>
                <c:pt idx="1761">
                  <c:v>0.68165529984980822</c:v>
                </c:pt>
                <c:pt idx="1762">
                  <c:v>0.67999301757663488</c:v>
                </c:pt>
                <c:pt idx="1763">
                  <c:v>0.67833556327968836</c:v>
                </c:pt>
                <c:pt idx="1764">
                  <c:v>0.67668292112648487</c:v>
                </c:pt>
                <c:pt idx="1765">
                  <c:v>0.6750350734218955</c:v>
                </c:pt>
                <c:pt idx="1766">
                  <c:v>0.67339200619608164</c:v>
                </c:pt>
                <c:pt idx="1767">
                  <c:v>0.67175370082259178</c:v>
                </c:pt>
                <c:pt idx="1768">
                  <c:v>0.67012014333158731</c:v>
                </c:pt>
                <c:pt idx="1769">
                  <c:v>0.66849131602793932</c:v>
                </c:pt>
                <c:pt idx="1770">
                  <c:v>0.66686720494180918</c:v>
                </c:pt>
                <c:pt idx="1771">
                  <c:v>0.66524779237806797</c:v>
                </c:pt>
                <c:pt idx="1772">
                  <c:v>0.66363306250423193</c:v>
                </c:pt>
                <c:pt idx="1773">
                  <c:v>0.66202300041913986</c:v>
                </c:pt>
                <c:pt idx="1774">
                  <c:v>0.66041759215295315</c:v>
                </c:pt>
                <c:pt idx="1775">
                  <c:v>0.65881681721657515</c:v>
                </c:pt>
                <c:pt idx="1776">
                  <c:v>0.65722066443413496</c:v>
                </c:pt>
                <c:pt idx="1777">
                  <c:v>0.65562911704182625</c:v>
                </c:pt>
                <c:pt idx="1778">
                  <c:v>0.65404215734452009</c:v>
                </c:pt>
                <c:pt idx="1779">
                  <c:v>0.6524597741663456</c:v>
                </c:pt>
                <c:pt idx="1780">
                  <c:v>0.65088194794952869</c:v>
                </c:pt>
                <c:pt idx="1781">
                  <c:v>0.64930866751819849</c:v>
                </c:pt>
                <c:pt idx="1782">
                  <c:v>0.64773991331458092</c:v>
                </c:pt>
                <c:pt idx="1783">
                  <c:v>0.64617567230015993</c:v>
                </c:pt>
                <c:pt idx="1784">
                  <c:v>0.64461593050509691</c:v>
                </c:pt>
                <c:pt idx="1785">
                  <c:v>0.64306067023426294</c:v>
                </c:pt>
                <c:pt idx="1786">
                  <c:v>0.64150987938046455</c:v>
                </c:pt>
                <c:pt idx="1787">
                  <c:v>0.6399635411798954</c:v>
                </c:pt>
                <c:pt idx="1788">
                  <c:v>0.63842164073139429</c:v>
                </c:pt>
                <c:pt idx="1789">
                  <c:v>0.63688416313380003</c:v>
                </c:pt>
                <c:pt idx="1790">
                  <c:v>0.635351094417274</c:v>
                </c:pt>
                <c:pt idx="1791">
                  <c:v>0.63382242061197758</c:v>
                </c:pt>
                <c:pt idx="1792">
                  <c:v>0.63229812309145927</c:v>
                </c:pt>
                <c:pt idx="1793">
                  <c:v>0.63077819347381592</c:v>
                </c:pt>
                <c:pt idx="1794">
                  <c:v>0.62926261220127344</c:v>
                </c:pt>
                <c:pt idx="1795">
                  <c:v>0.62775136716663837</c:v>
                </c:pt>
                <c:pt idx="1796">
                  <c:v>0.6262444406747818</c:v>
                </c:pt>
                <c:pt idx="1797">
                  <c:v>0.62474182434380054</c:v>
                </c:pt>
                <c:pt idx="1798">
                  <c:v>0.62324349861592054</c:v>
                </c:pt>
                <c:pt idx="1799">
                  <c:v>0.62174945045262575</c:v>
                </c:pt>
                <c:pt idx="1800">
                  <c:v>0.62025966681540012</c:v>
                </c:pt>
                <c:pt idx="1801">
                  <c:v>0.61877413280308247</c:v>
                </c:pt>
                <c:pt idx="1802">
                  <c:v>0.61729283444583416</c:v>
                </c:pt>
                <c:pt idx="1803">
                  <c:v>0.61581575777381659</c:v>
                </c:pt>
                <c:pt idx="1804">
                  <c:v>0.61434288788586855</c:v>
                </c:pt>
                <c:pt idx="1805">
                  <c:v>0.61287421267479658</c:v>
                </c:pt>
                <c:pt idx="1806">
                  <c:v>0.61140971537679434</c:v>
                </c:pt>
                <c:pt idx="1807">
                  <c:v>0.6099493857473135</c:v>
                </c:pt>
                <c:pt idx="1808">
                  <c:v>0.60849320702254772</c:v>
                </c:pt>
                <c:pt idx="1809">
                  <c:v>0.60704116616398096</c:v>
                </c:pt>
                <c:pt idx="1810">
                  <c:v>0.60559325106441975</c:v>
                </c:pt>
                <c:pt idx="1811">
                  <c:v>0.60414944589138031</c:v>
                </c:pt>
                <c:pt idx="1812">
                  <c:v>0.60270973946899176</c:v>
                </c:pt>
                <c:pt idx="1813">
                  <c:v>0.60127411503344774</c:v>
                </c:pt>
                <c:pt idx="1814">
                  <c:v>0.59984256234019995</c:v>
                </c:pt>
                <c:pt idx="1815">
                  <c:v>0.5984150655567646</c:v>
                </c:pt>
                <c:pt idx="1816">
                  <c:v>0.59699161257594824</c:v>
                </c:pt>
                <c:pt idx="1817">
                  <c:v>0.59557219035923481</c:v>
                </c:pt>
                <c:pt idx="1818">
                  <c:v>0.5941567849367857</c:v>
                </c:pt>
                <c:pt idx="1819">
                  <c:v>0.59274538233876228</c:v>
                </c:pt>
                <c:pt idx="1820">
                  <c:v>0.5913379704579711</c:v>
                </c:pt>
                <c:pt idx="1821">
                  <c:v>0.58993453718721867</c:v>
                </c:pt>
                <c:pt idx="1822">
                  <c:v>0.58853506669402122</c:v>
                </c:pt>
                <c:pt idx="1823">
                  <c:v>0.58713954780250788</c:v>
                </c:pt>
                <c:pt idx="1824">
                  <c:v>0.58574796747416258</c:v>
                </c:pt>
                <c:pt idx="1825">
                  <c:v>0.58436031173914671</c:v>
                </c:pt>
                <c:pt idx="1826">
                  <c:v>0.58297657035291195</c:v>
                </c:pt>
                <c:pt idx="1827">
                  <c:v>0.58159672562032938</c:v>
                </c:pt>
                <c:pt idx="1828">
                  <c:v>0.58022077009081841</c:v>
                </c:pt>
                <c:pt idx="1829">
                  <c:v>0.57884868793189526</c:v>
                </c:pt>
                <c:pt idx="1830">
                  <c:v>0.57748046703636646</c:v>
                </c:pt>
                <c:pt idx="1831">
                  <c:v>0.57611609436571598</c:v>
                </c:pt>
                <c:pt idx="1832">
                  <c:v>0.57475555874407291</c:v>
                </c:pt>
                <c:pt idx="1833">
                  <c:v>0.57339884620159864</c:v>
                </c:pt>
                <c:pt idx="1834">
                  <c:v>0.5720459446310997</c:v>
                </c:pt>
                <c:pt idx="1835">
                  <c:v>0.57069684099406004</c:v>
                </c:pt>
                <c:pt idx="1836">
                  <c:v>0.56935152504593134</c:v>
                </c:pt>
                <c:pt idx="1837">
                  <c:v>0.56800998281687498</c:v>
                </c:pt>
                <c:pt idx="1838">
                  <c:v>0.56667220033705235</c:v>
                </c:pt>
                <c:pt idx="1839">
                  <c:v>0.56533816829323769</c:v>
                </c:pt>
                <c:pt idx="1840">
                  <c:v>0.56400787364691496</c:v>
                </c:pt>
                <c:pt idx="1841">
                  <c:v>0.56268130335956812</c:v>
                </c:pt>
                <c:pt idx="1842">
                  <c:v>0.5613584453240037</c:v>
                </c:pt>
                <c:pt idx="1843">
                  <c:v>0.5600392883643508</c:v>
                </c:pt>
                <c:pt idx="1844">
                  <c:v>0.55872382037341595</c:v>
                </c:pt>
                <c:pt idx="1845">
                  <c:v>0.55741202831268311</c:v>
                </c:pt>
                <c:pt idx="1846">
                  <c:v>0.5561039000749588</c:v>
                </c:pt>
                <c:pt idx="1847">
                  <c:v>0.55479942634701729</c:v>
                </c:pt>
                <c:pt idx="1848">
                  <c:v>0.5534985912963748</c:v>
                </c:pt>
                <c:pt idx="1849">
                  <c:v>0.55220138654112816</c:v>
                </c:pt>
                <c:pt idx="1850">
                  <c:v>0.5509077999740839</c:v>
                </c:pt>
                <c:pt idx="1851">
                  <c:v>0.54961781669408083</c:v>
                </c:pt>
                <c:pt idx="1852">
                  <c:v>0.54833142831921577</c:v>
                </c:pt>
                <c:pt idx="1853">
                  <c:v>0.54704862181097269</c:v>
                </c:pt>
                <c:pt idx="1854">
                  <c:v>0.54576938599348068</c:v>
                </c:pt>
                <c:pt idx="1855">
                  <c:v>0.54449370969086885</c:v>
                </c:pt>
                <c:pt idx="1856">
                  <c:v>0.54322157893329859</c:v>
                </c:pt>
                <c:pt idx="1857">
                  <c:v>0.54195298627018929</c:v>
                </c:pt>
                <c:pt idx="1858">
                  <c:v>0.54068791680037975</c:v>
                </c:pt>
                <c:pt idx="1859">
                  <c:v>0.53942636121064425</c:v>
                </c:pt>
                <c:pt idx="1860">
                  <c:v>0.53816830646246672</c:v>
                </c:pt>
                <c:pt idx="1861">
                  <c:v>0.53691374324262142</c:v>
                </c:pt>
                <c:pt idx="1862">
                  <c:v>0.53566265758126974</c:v>
                </c:pt>
                <c:pt idx="1863">
                  <c:v>0.53441504202783108</c:v>
                </c:pt>
                <c:pt idx="1864">
                  <c:v>0.53317088168114424</c:v>
                </c:pt>
                <c:pt idx="1865">
                  <c:v>0.53193016815930605</c:v>
                </c:pt>
                <c:pt idx="1866">
                  <c:v>0.53069288749247789</c:v>
                </c:pt>
                <c:pt idx="1867">
                  <c:v>0.52945903223007917</c:v>
                </c:pt>
                <c:pt idx="1868">
                  <c:v>0.5282285874709487</c:v>
                </c:pt>
                <c:pt idx="1869">
                  <c:v>0.52700154669582844</c:v>
                </c:pt>
                <c:pt idx="1870">
                  <c:v>0.52577789407223463</c:v>
                </c:pt>
                <c:pt idx="1871">
                  <c:v>0.5245576212182641</c:v>
                </c:pt>
                <c:pt idx="1872">
                  <c:v>0.52334071882069111</c:v>
                </c:pt>
                <c:pt idx="1873">
                  <c:v>0.52212717290967703</c:v>
                </c:pt>
                <c:pt idx="1874">
                  <c:v>0.52091697510331869</c:v>
                </c:pt>
                <c:pt idx="1875">
                  <c:v>0.51971011329442263</c:v>
                </c:pt>
                <c:pt idx="1876">
                  <c:v>0.51850657723844051</c:v>
                </c:pt>
                <c:pt idx="1877">
                  <c:v>0.51730635575950146</c:v>
                </c:pt>
                <c:pt idx="1878">
                  <c:v>0.51610943954437971</c:v>
                </c:pt>
                <c:pt idx="1879">
                  <c:v>0.51491581648588181</c:v>
                </c:pt>
                <c:pt idx="1880">
                  <c:v>0.51372547820210457</c:v>
                </c:pt>
                <c:pt idx="1881">
                  <c:v>0.51253841072320938</c:v>
                </c:pt>
                <c:pt idx="1882">
                  <c:v>0.51135460566729307</c:v>
                </c:pt>
                <c:pt idx="1883">
                  <c:v>0.51017405465245247</c:v>
                </c:pt>
                <c:pt idx="1884">
                  <c:v>0.50899674277752638</c:v>
                </c:pt>
                <c:pt idx="1885">
                  <c:v>0.50782266445457935</c:v>
                </c:pt>
                <c:pt idx="1886">
                  <c:v>0.5066518047824502</c:v>
                </c:pt>
                <c:pt idx="1887">
                  <c:v>0.50548415724188089</c:v>
                </c:pt>
                <c:pt idx="1888">
                  <c:v>0.50431970786303282</c:v>
                </c:pt>
                <c:pt idx="1889">
                  <c:v>0.5031584519892931</c:v>
                </c:pt>
                <c:pt idx="1890">
                  <c:v>0.50200037285685539</c:v>
                </c:pt>
                <c:pt idx="1891">
                  <c:v>0.50084546487778425</c:v>
                </c:pt>
                <c:pt idx="1892">
                  <c:v>0.49969371687620878</c:v>
                </c:pt>
                <c:pt idx="1893">
                  <c:v>0.49854511860758066</c:v>
                </c:pt>
                <c:pt idx="1894">
                  <c:v>0.49739965982735157</c:v>
                </c:pt>
                <c:pt idx="1895">
                  <c:v>0.49625733029097319</c:v>
                </c:pt>
                <c:pt idx="1896">
                  <c:v>0.49511812068521976</c:v>
                </c:pt>
                <c:pt idx="1897">
                  <c:v>0.49398202169686556</c:v>
                </c:pt>
                <c:pt idx="1898">
                  <c:v>0.49284902215003967</c:v>
                </c:pt>
                <c:pt idx="1899">
                  <c:v>0.49171911180019379</c:v>
                </c:pt>
                <c:pt idx="1900">
                  <c:v>0.49059228226542473</c:v>
                </c:pt>
                <c:pt idx="1901">
                  <c:v>0.48946852423250675</c:v>
                </c:pt>
                <c:pt idx="1902">
                  <c:v>0.48834782652556896</c:v>
                </c:pt>
                <c:pt idx="1903">
                  <c:v>0.48723017890006304</c:v>
                </c:pt>
                <c:pt idx="1904">
                  <c:v>0.48611557390540838</c:v>
                </c:pt>
                <c:pt idx="1905">
                  <c:v>0.4850040003657341</c:v>
                </c:pt>
                <c:pt idx="1906">
                  <c:v>0.48389544896781445</c:v>
                </c:pt>
                <c:pt idx="1907">
                  <c:v>0.48278991132974625</c:v>
                </c:pt>
                <c:pt idx="1908">
                  <c:v>0.48168737534433603</c:v>
                </c:pt>
                <c:pt idx="1909">
                  <c:v>0.48058783356100321</c:v>
                </c:pt>
                <c:pt idx="1910">
                  <c:v>0.47949127573519945</c:v>
                </c:pt>
                <c:pt idx="1911">
                  <c:v>0.47839769255369902</c:v>
                </c:pt>
                <c:pt idx="1912">
                  <c:v>0.47730707563459873</c:v>
                </c:pt>
                <c:pt idx="1913">
                  <c:v>0.47621941473335028</c:v>
                </c:pt>
                <c:pt idx="1914">
                  <c:v>0.47513470053672791</c:v>
                </c:pt>
                <c:pt idx="1915">
                  <c:v>0.4740529228001833</c:v>
                </c:pt>
                <c:pt idx="1916">
                  <c:v>0.47297407407313585</c:v>
                </c:pt>
                <c:pt idx="1917">
                  <c:v>0.47189814411103725</c:v>
                </c:pt>
                <c:pt idx="1918">
                  <c:v>0.47082512360066175</c:v>
                </c:pt>
                <c:pt idx="1919">
                  <c:v>0.46975500416010618</c:v>
                </c:pt>
                <c:pt idx="1920">
                  <c:v>0.46868777647614479</c:v>
                </c:pt>
                <c:pt idx="1921">
                  <c:v>0.46762343123555183</c:v>
                </c:pt>
                <c:pt idx="1922">
                  <c:v>0.46656196005642414</c:v>
                </c:pt>
                <c:pt idx="1923">
                  <c:v>0.46550335083156824</c:v>
                </c:pt>
                <c:pt idx="1924">
                  <c:v>0.46444759983569384</c:v>
                </c:pt>
                <c:pt idx="1925">
                  <c:v>0.46339469309896231</c:v>
                </c:pt>
                <c:pt idx="1926">
                  <c:v>0.46234462503343821</c:v>
                </c:pt>
                <c:pt idx="1927">
                  <c:v>0.46129738539457321</c:v>
                </c:pt>
                <c:pt idx="1928">
                  <c:v>0.46025296486914158</c:v>
                </c:pt>
                <c:pt idx="1929">
                  <c:v>0.45921135600656271</c:v>
                </c:pt>
                <c:pt idx="1930">
                  <c:v>0.45817254949361086</c:v>
                </c:pt>
                <c:pt idx="1931">
                  <c:v>0.45713653508573771</c:v>
                </c:pt>
                <c:pt idx="1932">
                  <c:v>0.45610330626368523</c:v>
                </c:pt>
                <c:pt idx="1933">
                  <c:v>0.45507285464555025</c:v>
                </c:pt>
                <c:pt idx="1934">
                  <c:v>0.45404516719281673</c:v>
                </c:pt>
                <c:pt idx="1935">
                  <c:v>0.45302024111151695</c:v>
                </c:pt>
                <c:pt idx="1936">
                  <c:v>0.45199806336313486</c:v>
                </c:pt>
                <c:pt idx="1937">
                  <c:v>0.45097862742841244</c:v>
                </c:pt>
                <c:pt idx="1938">
                  <c:v>0.44996192492544651</c:v>
                </c:pt>
                <c:pt idx="1939">
                  <c:v>0.44894794654101133</c:v>
                </c:pt>
                <c:pt idx="1940">
                  <c:v>0.44793668389320374</c:v>
                </c:pt>
                <c:pt idx="1941">
                  <c:v>0.44692812766879797</c:v>
                </c:pt>
                <c:pt idx="1942">
                  <c:v>0.44592227227985859</c:v>
                </c:pt>
                <c:pt idx="1943">
                  <c:v>0.4449191065505147</c:v>
                </c:pt>
                <c:pt idx="1944">
                  <c:v>0.4439186230301857</c:v>
                </c:pt>
                <c:pt idx="1945">
                  <c:v>0.44292081333696842</c:v>
                </c:pt>
                <c:pt idx="1946">
                  <c:v>0.44192566908895969</c:v>
                </c:pt>
                <c:pt idx="1947">
                  <c:v>0.44093318376690149</c:v>
                </c:pt>
                <c:pt idx="1948">
                  <c:v>0.43994334433227777</c:v>
                </c:pt>
                <c:pt idx="1949">
                  <c:v>0.43895614799112082</c:v>
                </c:pt>
                <c:pt idx="1950">
                  <c:v>0.43797158449888229</c:v>
                </c:pt>
                <c:pt idx="1951">
                  <c:v>0.43698964361101389</c:v>
                </c:pt>
                <c:pt idx="1952">
                  <c:v>0.43601032067090273</c:v>
                </c:pt>
                <c:pt idx="1953">
                  <c:v>0.43503360543400049</c:v>
                </c:pt>
                <c:pt idx="1954">
                  <c:v>0.43405949138104916</c:v>
                </c:pt>
                <c:pt idx="1955">
                  <c:v>0.43308796640485525</c:v>
                </c:pt>
                <c:pt idx="1956">
                  <c:v>0.4321190295740962</c:v>
                </c:pt>
                <c:pt idx="1957">
                  <c:v>0.43115266505628824</c:v>
                </c:pt>
                <c:pt idx="1958">
                  <c:v>0.4301888719201088</c:v>
                </c:pt>
                <c:pt idx="1959">
                  <c:v>0.42922763712704182</c:v>
                </c:pt>
                <c:pt idx="1960">
                  <c:v>0.42826895415782928</c:v>
                </c:pt>
                <c:pt idx="1961">
                  <c:v>0.42731281742453575</c:v>
                </c:pt>
                <c:pt idx="1962">
                  <c:v>0.42635921575129032</c:v>
                </c:pt>
                <c:pt idx="1963">
                  <c:v>0.42540814355015755</c:v>
                </c:pt>
                <c:pt idx="1964">
                  <c:v>0.42445959243923426</c:v>
                </c:pt>
                <c:pt idx="1965">
                  <c:v>0.4235135531052947</c:v>
                </c:pt>
                <c:pt idx="1966">
                  <c:v>0.42257002089172602</c:v>
                </c:pt>
                <c:pt idx="1967">
                  <c:v>0.42162898555397987</c:v>
                </c:pt>
                <c:pt idx="1968">
                  <c:v>0.42069044150412083</c:v>
                </c:pt>
                <c:pt idx="1969">
                  <c:v>0.41975437756627798</c:v>
                </c:pt>
                <c:pt idx="1970">
                  <c:v>0.41882079001516104</c:v>
                </c:pt>
                <c:pt idx="1971">
                  <c:v>0.41788966953754425</c:v>
                </c:pt>
                <c:pt idx="1972">
                  <c:v>0.41696100868284702</c:v>
                </c:pt>
                <c:pt idx="1973">
                  <c:v>0.41603479813784361</c:v>
                </c:pt>
                <c:pt idx="1974">
                  <c:v>0.41511103510856628</c:v>
                </c:pt>
                <c:pt idx="1975">
                  <c:v>0.414189706556499</c:v>
                </c:pt>
                <c:pt idx="1976">
                  <c:v>0.4132708078250289</c:v>
                </c:pt>
                <c:pt idx="1977">
                  <c:v>0.41235433239489794</c:v>
                </c:pt>
                <c:pt idx="1978">
                  <c:v>0.41144027095288038</c:v>
                </c:pt>
                <c:pt idx="1979">
                  <c:v>0.41052861604839563</c:v>
                </c:pt>
                <c:pt idx="1980">
                  <c:v>0.40961936209350824</c:v>
                </c:pt>
                <c:pt idx="1981">
                  <c:v>0.40871249977499247</c:v>
                </c:pt>
                <c:pt idx="1982">
                  <c:v>0.40780802443623543</c:v>
                </c:pt>
                <c:pt idx="1983">
                  <c:v>0.40690592490136623</c:v>
                </c:pt>
                <c:pt idx="1984">
                  <c:v>0.40600619744509459</c:v>
                </c:pt>
                <c:pt idx="1985">
                  <c:v>0.40510883275419474</c:v>
                </c:pt>
                <c:pt idx="1986">
                  <c:v>0.40421382337808609</c:v>
                </c:pt>
                <c:pt idx="1987">
                  <c:v>0.40332116559147835</c:v>
                </c:pt>
                <c:pt idx="1988">
                  <c:v>0.40243084728717804</c:v>
                </c:pt>
                <c:pt idx="1989">
                  <c:v>0.40154286473989487</c:v>
                </c:pt>
                <c:pt idx="1990">
                  <c:v>0.40065721049904823</c:v>
                </c:pt>
                <c:pt idx="1991">
                  <c:v>0.39977387432008982</c:v>
                </c:pt>
                <c:pt idx="1992">
                  <c:v>0.3988928534090519</c:v>
                </c:pt>
                <c:pt idx="1993">
                  <c:v>0.3980141393840313</c:v>
                </c:pt>
                <c:pt idx="1994">
                  <c:v>0.39713772386312485</c:v>
                </c:pt>
                <c:pt idx="1995">
                  <c:v>0.39626360032707453</c:v>
                </c:pt>
                <c:pt idx="1996">
                  <c:v>0.39539176318794489</c:v>
                </c:pt>
                <c:pt idx="1997">
                  <c:v>0.39452220406383276</c:v>
                </c:pt>
                <c:pt idx="1998">
                  <c:v>0.39365491643548012</c:v>
                </c:pt>
                <c:pt idx="1999">
                  <c:v>0.39278989378362894</c:v>
                </c:pt>
                <c:pt idx="2000">
                  <c:v>0.39192712865769863</c:v>
                </c:pt>
                <c:pt idx="2001">
                  <c:v>0.39106661360710859</c:v>
                </c:pt>
              </c:numCache>
            </c:numRef>
          </c:val>
          <c:smooth val="0"/>
          <c:extLst>
            <c:ext xmlns:c16="http://schemas.microsoft.com/office/drawing/2014/chart" uri="{C3380CC4-5D6E-409C-BE32-E72D297353CC}">
              <c16:uniqueId val="{00000000-3D01-4528-9764-FFF17F6376CB}"/>
            </c:ext>
          </c:extLst>
        </c:ser>
        <c:dLbls>
          <c:showLegendKey val="0"/>
          <c:showVal val="0"/>
          <c:showCatName val="0"/>
          <c:showSerName val="0"/>
          <c:showPercent val="0"/>
          <c:showBubbleSize val="0"/>
        </c:dLbls>
        <c:smooth val="0"/>
        <c:axId val="65178240"/>
        <c:axId val="65188608"/>
      </c:lineChart>
      <c:catAx>
        <c:axId val="65178240"/>
        <c:scaling>
          <c:orientation val="minMax"/>
        </c:scaling>
        <c:delete val="0"/>
        <c:axPos val="b"/>
        <c:title>
          <c:tx>
            <c:rich>
              <a:bodyPr/>
              <a:lstStyle/>
              <a:p>
                <a:pPr>
                  <a:defRPr sz="1200"/>
                </a:pPr>
                <a:r>
                  <a:rPr lang="en-GB" sz="1200"/>
                  <a:t>Minutes</a:t>
                </a:r>
                <a:r>
                  <a:rPr lang="en-GB" sz="1200" baseline="0"/>
                  <a:t> per day of active travel</a:t>
                </a:r>
              </a:p>
            </c:rich>
          </c:tx>
          <c:layout/>
          <c:overlay val="0"/>
        </c:title>
        <c:numFmt formatCode="0" sourceLinked="1"/>
        <c:majorTickMark val="out"/>
        <c:minorTickMark val="none"/>
        <c:tickLblPos val="nextTo"/>
        <c:crossAx val="65188608"/>
        <c:crosses val="autoZero"/>
        <c:auto val="1"/>
        <c:lblAlgn val="ctr"/>
        <c:lblOffset val="100"/>
        <c:tickLblSkip val="105"/>
        <c:noMultiLvlLbl val="0"/>
      </c:catAx>
      <c:valAx>
        <c:axId val="65188608"/>
        <c:scaling>
          <c:orientation val="minMax"/>
        </c:scaling>
        <c:delete val="0"/>
        <c:axPos val="l"/>
        <c:majorGridlines/>
        <c:title>
          <c:tx>
            <c:rich>
              <a:bodyPr rot="-5400000" vert="horz"/>
              <a:lstStyle/>
              <a:p>
                <a:pPr>
                  <a:defRPr sz="1200"/>
                </a:pPr>
                <a:r>
                  <a:rPr lang="en-GB" sz="1200"/>
                  <a:t>Populatoin Desnity</a:t>
                </a:r>
                <a:r>
                  <a:rPr lang="en-GB" sz="1200" baseline="0"/>
                  <a:t> Function</a:t>
                </a:r>
                <a:endParaRPr lang="en-GB" sz="1200"/>
              </a:p>
            </c:rich>
          </c:tx>
          <c:layout/>
          <c:overlay val="0"/>
        </c:title>
        <c:numFmt formatCode="#,##0" sourceLinked="0"/>
        <c:majorTickMark val="out"/>
        <c:minorTickMark val="none"/>
        <c:tickLblPos val="nextTo"/>
        <c:crossAx val="65178240"/>
        <c:crossesAt val="1"/>
        <c:crossBetween val="between"/>
      </c:valAx>
    </c:plotArea>
    <c:plotVisOnly val="1"/>
    <c:dispBlanksAs val="gap"/>
    <c:showDLblsOverMax val="0"/>
  </c:chart>
  <c:printSettings>
    <c:headerFooter/>
    <c:pageMargins b="0.7500000000000081" l="0.70000000000000095" r="0.70000000000000095" t="0.750000000000008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'Travel Summary'!$P$2</c:f>
          <c:strCache>
            <c:ptCount val="1"/>
            <c:pt idx="0">
              <c:v>Scenario Distances by Mode in km per Person per Year</c:v>
            </c:pt>
          </c:strCache>
        </c:strRef>
      </c:tx>
      <c:layout>
        <c:manualLayout>
          <c:xMode val="edge"/>
          <c:yMode val="edge"/>
          <c:x val="0.13167184377182214"/>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36242144044026"/>
          <c:y val="0.12534740449110637"/>
          <c:w val="0.77378538691838294"/>
          <c:h val="0.47707677165354673"/>
        </c:manualLayout>
      </c:layout>
      <c:barChart>
        <c:barDir val="col"/>
        <c:grouping val="stacked"/>
        <c:varyColors val="0"/>
        <c:ser>
          <c:idx val="0"/>
          <c:order val="0"/>
          <c:tx>
            <c:strRef>
              <c:f>'Travel Summary'!$Q$5</c:f>
              <c:strCache>
                <c:ptCount val="1"/>
                <c:pt idx="0">
                  <c:v>Active Transport</c:v>
                </c:pt>
              </c:strCache>
            </c:strRef>
          </c:tx>
          <c:spPr>
            <a:solidFill>
              <a:schemeClr val="accent1"/>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Summary'!$Q$6:$Q$12</c:f>
              <c:numCache>
                <c:formatCode>0.00</c:formatCode>
                <c:ptCount val="7"/>
                <c:pt idx="0">
                  <c:v>252.16125088961186</c:v>
                </c:pt>
                <c:pt idx="1">
                  <c:v>240.65492576361245</c:v>
                </c:pt>
                <c:pt idx="2">
                  <c:v>456.90765429379809</c:v>
                </c:pt>
                <c:pt idx="3">
                  <c:v>331.87863181508789</c:v>
                </c:pt>
                <c:pt idx="4">
                  <c:v>278.11249749768439</c:v>
                </c:pt>
                <c:pt idx="5">
                  <c:v>244.2017514620936</c:v>
                </c:pt>
                <c:pt idx="6">
                  <c:v>224.48833313679972</c:v>
                </c:pt>
              </c:numCache>
            </c:numRef>
          </c:val>
          <c:extLst>
            <c:ext xmlns:c16="http://schemas.microsoft.com/office/drawing/2014/chart" uri="{C3380CC4-5D6E-409C-BE32-E72D297353CC}">
              <c16:uniqueId val="{00000000-71F7-458B-99A0-2EF4461DE9CC}"/>
            </c:ext>
          </c:extLst>
        </c:ser>
        <c:ser>
          <c:idx val="1"/>
          <c:order val="1"/>
          <c:tx>
            <c:strRef>
              <c:f>'Travel Summary'!$R$5</c:f>
              <c:strCache>
                <c:ptCount val="1"/>
                <c:pt idx="0">
                  <c:v>Transit</c:v>
                </c:pt>
              </c:strCache>
            </c:strRef>
          </c:tx>
          <c:spPr>
            <a:solidFill>
              <a:schemeClr val="accent2"/>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Summary'!$R$6:$R$12</c:f>
              <c:numCache>
                <c:formatCode>0.00</c:formatCode>
                <c:ptCount val="7"/>
                <c:pt idx="0">
                  <c:v>352.90390222991715</c:v>
                </c:pt>
                <c:pt idx="1">
                  <c:v>650.07748839293924</c:v>
                </c:pt>
                <c:pt idx="2">
                  <c:v>1119.8769851201862</c:v>
                </c:pt>
                <c:pt idx="3">
                  <c:v>548.40572661546162</c:v>
                </c:pt>
                <c:pt idx="4">
                  <c:v>546.18140527369542</c:v>
                </c:pt>
                <c:pt idx="5">
                  <c:v>424.88037753215076</c:v>
                </c:pt>
                <c:pt idx="6">
                  <c:v>674.57704212082263</c:v>
                </c:pt>
              </c:numCache>
            </c:numRef>
          </c:val>
          <c:extLst>
            <c:ext xmlns:c16="http://schemas.microsoft.com/office/drawing/2014/chart" uri="{C3380CC4-5D6E-409C-BE32-E72D297353CC}">
              <c16:uniqueId val="{00000001-71F7-458B-99A0-2EF4461DE9CC}"/>
            </c:ext>
          </c:extLst>
        </c:ser>
        <c:ser>
          <c:idx val="2"/>
          <c:order val="2"/>
          <c:tx>
            <c:strRef>
              <c:f>'Travel Summary'!$S$5</c:f>
              <c:strCache>
                <c:ptCount val="1"/>
                <c:pt idx="0">
                  <c:v>Car</c:v>
                </c:pt>
              </c:strCache>
            </c:strRef>
          </c:tx>
          <c:spPr>
            <a:solidFill>
              <a:schemeClr val="accent3"/>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Summary'!$S$6:$S$12</c:f>
              <c:numCache>
                <c:formatCode>0.0</c:formatCode>
                <c:ptCount val="7"/>
                <c:pt idx="0">
                  <c:v>10689.398408289806</c:v>
                </c:pt>
                <c:pt idx="1">
                  <c:v>10456.737678172349</c:v>
                </c:pt>
                <c:pt idx="2">
                  <c:v>9085.6029918833137</c:v>
                </c:pt>
                <c:pt idx="3">
                  <c:v>10250.560537929518</c:v>
                </c:pt>
                <c:pt idx="4">
                  <c:v>10893.311265313838</c:v>
                </c:pt>
                <c:pt idx="5">
                  <c:v>9297.5801792421298</c:v>
                </c:pt>
                <c:pt idx="6">
                  <c:v>10395.398186151711</c:v>
                </c:pt>
              </c:numCache>
            </c:numRef>
          </c:val>
          <c:extLst>
            <c:ext xmlns:c16="http://schemas.microsoft.com/office/drawing/2014/chart" uri="{C3380CC4-5D6E-409C-BE32-E72D297353CC}">
              <c16:uniqueId val="{00000002-71F7-458B-99A0-2EF4461DE9CC}"/>
            </c:ext>
          </c:extLst>
        </c:ser>
        <c:dLbls>
          <c:showLegendKey val="0"/>
          <c:showVal val="0"/>
          <c:showCatName val="0"/>
          <c:showSerName val="0"/>
          <c:showPercent val="0"/>
          <c:showBubbleSize val="0"/>
        </c:dLbls>
        <c:gapWidth val="219"/>
        <c:overlap val="100"/>
        <c:axId val="70048000"/>
        <c:axId val="73207808"/>
      </c:barChart>
      <c:catAx>
        <c:axId val="7004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07808"/>
        <c:crosses val="autoZero"/>
        <c:auto val="1"/>
        <c:lblAlgn val="ctr"/>
        <c:lblOffset val="100"/>
        <c:noMultiLvlLbl val="0"/>
      </c:catAx>
      <c:valAx>
        <c:axId val="73207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7004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'Health summary'!$F$89</c:f>
          <c:strCache>
            <c:ptCount val="1"/>
            <c:pt idx="0">
              <c:v>Change in Disease and Injury Burden, Scenario = 1</c:v>
            </c:pt>
          </c:strCache>
        </c:strRef>
      </c:tx>
      <c:layout>
        <c:manualLayout>
          <c:xMode val="edge"/>
          <c:yMode val="edge"/>
          <c:x val="0.11748600174978127"/>
          <c:y val="2.314814814814814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2"/>
          <c:tx>
            <c:strRef>
              <c:f>'Health summary'!$I$90:$I$91</c:f>
              <c:strCache>
                <c:ptCount val="2"/>
                <c:pt idx="0">
                  <c:v>Disease Category</c:v>
                </c:pt>
              </c:strCache>
            </c:strRef>
          </c:tx>
          <c:spPr>
            <a:solidFill>
              <a:schemeClr val="accent3"/>
            </a:solidFill>
            <a:ln>
              <a:noFill/>
            </a:ln>
            <a:effectLst/>
          </c:spPr>
          <c:invertIfNegative val="0"/>
          <c:cat>
            <c:strRef>
              <c:extLst>
                <c:ext xmlns:c15="http://schemas.microsoft.com/office/drawing/2012/chart" uri="{02D57815-91ED-43cb-92C2-25804820EDAC}">
                  <c15:fullRef>
                    <c15:sqref>'Health summary'!$F$92:$F$110</c15:sqref>
                  </c15:fullRef>
                </c:ext>
              </c:extLst>
              <c:f>('Health summary'!$F$92,'Health summary'!$F$96:$F$100,'Health summary'!$F$106)</c:f>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summary'!$I$92:$I$110</c15:sqref>
                  </c15:fullRef>
                </c:ext>
              </c:extLst>
              <c:f>('Health summary'!$I$92,'Health summary'!$I$96:$I$100,'Health summary'!$I$106)</c:f>
              <c:numCache>
                <c:formatCode>General</c:formatCode>
                <c:ptCount val="7"/>
              </c:numCache>
            </c:numRef>
          </c:val>
          <c:extLst>
            <c:ext xmlns:c16="http://schemas.microsoft.com/office/drawing/2014/chart" uri="{C3380CC4-5D6E-409C-BE32-E72D297353CC}">
              <c16:uniqueId val="{00000000-7A37-4B3B-A041-3B6687249369}"/>
            </c:ext>
          </c:extLst>
        </c:ser>
        <c:ser>
          <c:idx val="4"/>
          <c:order val="4"/>
          <c:tx>
            <c:strRef>
              <c:f>'Health summary'!$K$90:$K$91</c:f>
              <c:strCache>
                <c:ptCount val="2"/>
                <c:pt idx="0">
                  <c:v>Deaths</c:v>
                </c:pt>
                <c:pt idx="1">
                  <c:v>N</c:v>
                </c:pt>
              </c:strCache>
            </c:strRef>
          </c:tx>
          <c:spPr>
            <a:solidFill>
              <a:schemeClr val="accent5"/>
            </a:solidFill>
            <a:ln>
              <a:noFill/>
            </a:ln>
            <a:effectLst/>
          </c:spPr>
          <c:invertIfNegative val="0"/>
          <c:dPt>
            <c:idx val="6"/>
            <c:invertIfNegative val="0"/>
            <c:bubble3D val="0"/>
            <c:spPr>
              <a:solidFill>
                <a:schemeClr val="accent2"/>
              </a:solidFill>
              <a:ln>
                <a:noFill/>
              </a:ln>
              <a:effectLst/>
            </c:spPr>
            <c:extLst>
              <c:ext xmlns:c16="http://schemas.microsoft.com/office/drawing/2014/chart" uri="{C3380CC4-5D6E-409C-BE32-E72D297353CC}">
                <c16:uniqueId val="{00000002-7A37-4B3B-A041-3B6687249369}"/>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4-7A37-4B3B-A041-3B6687249369}"/>
              </c:ext>
            </c:extLst>
          </c:dPt>
          <c:cat>
            <c:strRef>
              <c:extLst>
                <c:ext xmlns:c15="http://schemas.microsoft.com/office/drawing/2012/chart" uri="{02D57815-91ED-43cb-92C2-25804820EDAC}">
                  <c15:fullRef>
                    <c15:sqref>'Health summary'!$F$92:$F$110</c15:sqref>
                  </c15:fullRef>
                </c:ext>
              </c:extLst>
              <c:f>('Health summary'!$F$92,'Health summary'!$F$96:$F$100,'Health summary'!$F$106)</c:f>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summary'!$K$92:$K$110</c15:sqref>
                  </c15:fullRef>
                </c:ext>
              </c:extLst>
              <c:f>('Health summary'!$K$92,'Health summary'!$K$96:$K$100,'Health summary'!$K$106)</c:f>
              <c:numCache>
                <c:formatCode>#,##0_ ;\-#,##0\ </c:formatCode>
                <c:ptCount val="7"/>
                <c:pt idx="0">
                  <c:v>0</c:v>
                </c:pt>
                <c:pt idx="1">
                  <c:v>1.7222671341928373</c:v>
                </c:pt>
                <c:pt idx="2">
                  <c:v>9.0948824038037266</c:v>
                </c:pt>
                <c:pt idx="3">
                  <c:v>0</c:v>
                </c:pt>
                <c:pt idx="4">
                  <c:v>2.4642202785765366</c:v>
                </c:pt>
                <c:pt idx="5">
                  <c:v>0.61252318675674355</c:v>
                </c:pt>
                <c:pt idx="6" formatCode="#,##0">
                  <c:v>59.842737776100023</c:v>
                </c:pt>
              </c:numCache>
            </c:numRef>
          </c:val>
          <c:extLst>
            <c:ext xmlns:c16="http://schemas.microsoft.com/office/drawing/2014/chart" uri="{C3380CC4-5D6E-409C-BE32-E72D297353CC}">
              <c16:uniqueId val="{00000005-7A37-4B3B-A041-3B6687249369}"/>
            </c:ext>
          </c:extLst>
        </c:ser>
        <c:dLbls>
          <c:showLegendKey val="0"/>
          <c:showVal val="0"/>
          <c:showCatName val="0"/>
          <c:showSerName val="0"/>
          <c:showPercent val="0"/>
          <c:showBubbleSize val="0"/>
        </c:dLbls>
        <c:gapWidth val="226"/>
        <c:axId val="112166784"/>
        <c:axId val="112168320"/>
        <c:extLst>
          <c:ext xmlns:c15="http://schemas.microsoft.com/office/drawing/2012/chart" uri="{02D57815-91ED-43cb-92C2-25804820EDAC}">
            <c15:filteredBarSeries>
              <c15:ser>
                <c:idx val="0"/>
                <c:order val="0"/>
                <c:tx>
                  <c:strRef>
                    <c:extLst>
                      <c:ext uri="{02D57815-91ED-43cb-92C2-25804820EDAC}">
                        <c15:formulaRef>
                          <c15:sqref>'Health summary'!$G$90:$G$91</c15:sqref>
                        </c15:formulaRef>
                      </c:ext>
                    </c:extLst>
                    <c:strCache>
                      <c:ptCount val="2"/>
                      <c:pt idx="0">
                        <c:v>Disease Category</c:v>
                      </c:pt>
                    </c:strCache>
                  </c:strRef>
                </c:tx>
                <c:spPr>
                  <a:solidFill>
                    <a:schemeClr val="accent1"/>
                  </a:solidFill>
                  <a:ln>
                    <a:noFill/>
                  </a:ln>
                  <a:effectLst/>
                </c:spPr>
                <c:invertIfNegative val="0"/>
                <c:cat>
                  <c:strRef>
                    <c:extLst>
                      <c:ext uri="{02D57815-91ED-43cb-92C2-25804820EDAC}">
                        <c15:fullRef>
                          <c15:sqref>'Health summary'!$F$92:$F$110</c15:sqref>
                        </c15:fullRef>
                        <c15:formulaRef>
                          <c15:sqref>('Health summary'!$F$92,'Health summary'!$F$96:$F$100,'Health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uri="{02D57815-91ED-43cb-92C2-25804820EDAC}">
                        <c15:fullRef>
                          <c15:sqref>'Health summary'!$G$92:$G$110</c15:sqref>
                        </c15:fullRef>
                        <c15:formulaRef>
                          <c15:sqref>('Health summary'!$G$92,'Health summary'!$G$96:$G$100,'Health summary'!$G$106)</c15:sqref>
                        </c15:formulaRef>
                      </c:ext>
                    </c:extLst>
                    <c:numCache>
                      <c:formatCode>General</c:formatCode>
                      <c:ptCount val="7"/>
                    </c:numCache>
                  </c:numRef>
                </c:val>
                <c:extLst>
                  <c:ext xmlns:c16="http://schemas.microsoft.com/office/drawing/2014/chart" uri="{C3380CC4-5D6E-409C-BE32-E72D297353CC}">
                    <c16:uniqueId val="{00000006-7A37-4B3B-A041-3B66872493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'Health summary'!$H$90:$H$91</c15:sqref>
                        </c15:formulaRef>
                      </c:ext>
                    </c:extLst>
                    <c:strCache>
                      <c:ptCount val="2"/>
                      <c:pt idx="0">
                        <c:v>Disease Category</c:v>
                      </c:pt>
                    </c:strCache>
                  </c:strRef>
                </c:tx>
                <c:spPr>
                  <a:solidFill>
                    <a:schemeClr val="accent2"/>
                  </a:solidFill>
                  <a:ln>
                    <a:noFill/>
                  </a:ln>
                  <a:effectLst/>
                </c:spPr>
                <c:invertIfNegative val="0"/>
                <c:cat>
                  <c:strRef>
                    <c:extLst>
                      <c:ext xmlns:c15="http://schemas.microsoft.com/office/drawing/2012/chart" uri="{02D57815-91ED-43cb-92C2-25804820EDAC}">
                        <c15:fullRef>
                          <c15:sqref>'Health summary'!$F$92:$F$110</c15:sqref>
                        </c15:fullRef>
                        <c15:formulaRef>
                          <c15:sqref>('Health summary'!$F$92,'Health summary'!$F$96:$F$100,'Health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summary'!$H$92:$H$110</c15:sqref>
                        </c15:fullRef>
                        <c15:formulaRef>
                          <c15:sqref>('Health summary'!$H$92,'Health summary'!$H$96:$H$100,'Health summary'!$H$106)</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7A37-4B3B-A041-3B66872493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'Health summary'!$J$90:$J$91</c15:sqref>
                        </c15:formulaRef>
                      </c:ext>
                    </c:extLst>
                    <c:strCache>
                      <c:ptCount val="2"/>
                      <c:pt idx="0">
                        <c:v>Deaths</c:v>
                      </c:pt>
                      <c:pt idx="1">
                        <c:v>PAF</c:v>
                      </c:pt>
                    </c:strCache>
                  </c:strRef>
                </c:tx>
                <c:spPr>
                  <a:solidFill>
                    <a:schemeClr val="accent4"/>
                  </a:solidFill>
                  <a:ln>
                    <a:noFill/>
                  </a:ln>
                  <a:effectLst/>
                </c:spPr>
                <c:invertIfNegative val="0"/>
                <c:cat>
                  <c:strRef>
                    <c:extLst>
                      <c:ext xmlns:c15="http://schemas.microsoft.com/office/drawing/2012/chart" uri="{02D57815-91ED-43cb-92C2-25804820EDAC}">
                        <c15:fullRef>
                          <c15:sqref>'Health summary'!$F$92:$F$110</c15:sqref>
                        </c15:fullRef>
                        <c15:formulaRef>
                          <c15:sqref>('Health summary'!$F$92,'Health summary'!$F$96:$F$100,'Health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summary'!$J$92:$J$110</c15:sqref>
                        </c15:fullRef>
                        <c15:formulaRef>
                          <c15:sqref>('Health summary'!$J$92,'Health summary'!$J$96:$J$100,'Health summary'!$J$106)</c15:sqref>
                        </c15:formulaRef>
                      </c:ext>
                    </c:extLst>
                    <c:numCache>
                      <c:formatCode>0.000</c:formatCode>
                      <c:ptCount val="7"/>
                      <c:pt idx="0">
                        <c:v>0</c:v>
                      </c:pt>
                      <c:pt idx="1">
                        <c:v>1.0789727800285104E-3</c:v>
                      </c:pt>
                      <c:pt idx="2">
                        <c:v>1.119290616987691E-3</c:v>
                      </c:pt>
                      <c:pt idx="3">
                        <c:v>0</c:v>
                      </c:pt>
                      <c:pt idx="4">
                        <c:v>6.5540227880196266E-4</c:v>
                      </c:pt>
                      <c:pt idx="5">
                        <c:v>0.03</c:v>
                      </c:pt>
                      <c:pt idx="6">
                        <c:v>6.5720334756750828E-4</c:v>
                      </c:pt>
                    </c:numCache>
                  </c:numRef>
                </c:val>
                <c:extLst xmlns:c15="http://schemas.microsoft.com/office/drawing/2012/chart">
                  <c:ext xmlns:c16="http://schemas.microsoft.com/office/drawing/2014/chart" uri="{C3380CC4-5D6E-409C-BE32-E72D297353CC}">
                    <c16:uniqueId val="{00000008-7A37-4B3B-A041-3B6687249369}"/>
                  </c:ext>
                </c:extLst>
              </c15:ser>
            </c15:filteredBarSeries>
          </c:ext>
        </c:extLst>
      </c:barChart>
      <c:catAx>
        <c:axId val="112166784"/>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68320"/>
        <c:crosses val="autoZero"/>
        <c:auto val="1"/>
        <c:lblAlgn val="ctr"/>
        <c:lblOffset val="200"/>
        <c:noMultiLvlLbl val="0"/>
      </c:catAx>
      <c:valAx>
        <c:axId val="11216832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Deaths</a:t>
                </a:r>
              </a:p>
            </c:rich>
          </c:tx>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66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'Health summary'!$F$89</c:f>
          <c:strCache>
            <c:ptCount val="1"/>
            <c:pt idx="0">
              <c:v>Change in Disease and Injury Burden, Scenario = 1</c:v>
            </c:pt>
          </c:strCache>
        </c:strRef>
      </c:tx>
      <c:layout>
        <c:manualLayout>
          <c:xMode val="edge"/>
          <c:yMode val="edge"/>
          <c:x val="0.11748600174978127"/>
          <c:y val="2.314814814814814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48556430446294E-2"/>
          <c:y val="0.20331853023386423"/>
          <c:w val="0.64821697287839064"/>
          <c:h val="0.70793275927906252"/>
        </c:manualLayout>
      </c:layout>
      <c:barChart>
        <c:barDir val="bar"/>
        <c:grouping val="clustered"/>
        <c:varyColors val="0"/>
        <c:ser>
          <c:idx val="4"/>
          <c:order val="4"/>
          <c:tx>
            <c:strRef>
              <c:f>'Health summary'!$M$90:$M$91</c:f>
              <c:strCache>
                <c:ptCount val="2"/>
                <c:pt idx="0">
                  <c:v>DALYS</c:v>
                </c:pt>
                <c:pt idx="1">
                  <c:v>N</c:v>
                </c:pt>
              </c:strCache>
            </c:strRef>
          </c:tx>
          <c:spPr>
            <a:solidFill>
              <a:schemeClr val="accent5"/>
            </a:solidFill>
            <a:ln>
              <a:noFill/>
            </a:ln>
            <a:effectLst/>
          </c:spPr>
          <c:invertIfNegative val="0"/>
          <c:dPt>
            <c:idx val="6"/>
            <c:invertIfNegative val="0"/>
            <c:bubble3D val="0"/>
            <c:spPr>
              <a:solidFill>
                <a:schemeClr val="accent2"/>
              </a:solidFill>
              <a:ln>
                <a:noFill/>
              </a:ln>
              <a:effectLst/>
            </c:spPr>
            <c:extLst>
              <c:ext xmlns:c16="http://schemas.microsoft.com/office/drawing/2014/chart" uri="{C3380CC4-5D6E-409C-BE32-E72D297353CC}">
                <c16:uniqueId val="{00000001-B7E4-4EF6-9A9E-8AD17434E92D}"/>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3-B7E4-4EF6-9A9E-8AD17434E92D}"/>
              </c:ext>
            </c:extLst>
          </c:dPt>
          <c:cat>
            <c:strRef>
              <c:extLst>
                <c:ext xmlns:c15="http://schemas.microsoft.com/office/drawing/2012/chart" uri="{02D57815-91ED-43cb-92C2-25804820EDAC}">
                  <c15:fullRef>
                    <c15:sqref>'Health summary'!$F$92:$F$110</c15:sqref>
                  </c15:fullRef>
                </c:ext>
              </c:extLst>
              <c:f>('Health summary'!$F$95:$F$100,'Health summary'!$F$106)</c:f>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summary'!$M$92:$M$110</c15:sqref>
                  </c15:fullRef>
                </c:ext>
              </c:extLst>
              <c:f>('Health summary'!$M$95:$M$100,'Health summary'!$M$106)</c:f>
              <c:numCache>
                <c:formatCode>#,##0_ ;\-#,##0\ </c:formatCode>
                <c:ptCount val="7"/>
                <c:pt idx="0">
                  <c:v>0</c:v>
                </c:pt>
                <c:pt idx="1">
                  <c:v>73.870268322979285</c:v>
                </c:pt>
                <c:pt idx="2">
                  <c:v>111.98804452213436</c:v>
                </c:pt>
                <c:pt idx="3">
                  <c:v>26.069277406201266</c:v>
                </c:pt>
                <c:pt idx="4">
                  <c:v>31.421431928199866</c:v>
                </c:pt>
                <c:pt idx="5">
                  <c:v>11.597997014680741</c:v>
                </c:pt>
                <c:pt idx="6" formatCode="#,##0">
                  <c:v>566.81120980797027</c:v>
                </c:pt>
              </c:numCache>
            </c:numRef>
          </c:val>
          <c:extLst>
            <c:ext xmlns:c16="http://schemas.microsoft.com/office/drawing/2014/chart" uri="{C3380CC4-5D6E-409C-BE32-E72D297353CC}">
              <c16:uniqueId val="{00000004-B7E4-4EF6-9A9E-8AD17434E92D}"/>
            </c:ext>
          </c:extLst>
        </c:ser>
        <c:dLbls>
          <c:showLegendKey val="0"/>
          <c:showVal val="0"/>
          <c:showCatName val="0"/>
          <c:showSerName val="0"/>
          <c:showPercent val="0"/>
          <c:showBubbleSize val="0"/>
        </c:dLbls>
        <c:gapWidth val="226"/>
        <c:axId val="112252800"/>
        <c:axId val="112254336"/>
        <c:extLst>
          <c:ext xmlns:c15="http://schemas.microsoft.com/office/drawing/2012/chart" uri="{02D57815-91ED-43cb-92C2-25804820EDAC}">
            <c15:filteredBarSeries>
              <c15:ser>
                <c:idx val="0"/>
                <c:order val="0"/>
                <c:tx>
                  <c:strRef>
                    <c:extLst>
                      <c:ext uri="{02D57815-91ED-43cb-92C2-25804820EDAC}">
                        <c15:formulaRef>
                          <c15:sqref>'Health summary'!$I$90:$I$91</c15:sqref>
                        </c15:formulaRef>
                      </c:ext>
                    </c:extLst>
                    <c:strCache>
                      <c:ptCount val="2"/>
                      <c:pt idx="0">
                        <c:v>Disease Category</c:v>
                      </c:pt>
                    </c:strCache>
                  </c:strRef>
                </c:tx>
                <c:spPr>
                  <a:solidFill>
                    <a:schemeClr val="accent1"/>
                  </a:solidFill>
                  <a:ln>
                    <a:noFill/>
                  </a:ln>
                  <a:effectLst/>
                </c:spPr>
                <c:invertIfNegative val="0"/>
                <c:cat>
                  <c:strRef>
                    <c:extLst>
                      <c:ext uri="{02D57815-91ED-43cb-92C2-25804820EDAC}">
                        <c15:fullRef>
                          <c15:sqref>'Health summary'!$F$92:$F$110</c15:sqref>
                        </c15:fullRef>
                        <c15:formulaRef>
                          <c15:sqref>('Health summary'!$F$95:$F$100,'Health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uri="{02D57815-91ED-43cb-92C2-25804820EDAC}">
                        <c15:fullRef>
                          <c15:sqref>'Health summary'!$I$92:$I$110</c15:sqref>
                        </c15:fullRef>
                        <c15:formulaRef>
                          <c15:sqref>('Health summary'!$I$95:$I$100,'Health summary'!$I$106)</c15:sqref>
                        </c15:formulaRef>
                      </c:ext>
                    </c:extLst>
                    <c:numCache>
                      <c:formatCode>General</c:formatCode>
                      <c:ptCount val="7"/>
                    </c:numCache>
                  </c:numRef>
                </c:val>
                <c:extLst>
                  <c:ext xmlns:c16="http://schemas.microsoft.com/office/drawing/2014/chart" uri="{C3380CC4-5D6E-409C-BE32-E72D297353CC}">
                    <c16:uniqueId val="{00000005-B7E4-4EF6-9A9E-8AD17434E92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'Health summary'!$J$90:$J$91</c15:sqref>
                        </c15:formulaRef>
                      </c:ext>
                    </c:extLst>
                    <c:strCache>
                      <c:ptCount val="2"/>
                      <c:pt idx="0">
                        <c:v>Deaths</c:v>
                      </c:pt>
                      <c:pt idx="1">
                        <c:v>PAF</c:v>
                      </c:pt>
                    </c:strCache>
                  </c:strRef>
                </c:tx>
                <c:spPr>
                  <a:solidFill>
                    <a:schemeClr val="accent2"/>
                  </a:solidFill>
                  <a:ln>
                    <a:noFill/>
                  </a:ln>
                  <a:effectLst/>
                </c:spPr>
                <c:invertIfNegative val="0"/>
                <c:cat>
                  <c:strRef>
                    <c:extLst>
                      <c:ext xmlns:c15="http://schemas.microsoft.com/office/drawing/2012/chart" uri="{02D57815-91ED-43cb-92C2-25804820EDAC}">
                        <c15:fullRef>
                          <c15:sqref>'Health summary'!$F$92:$F$110</c15:sqref>
                        </c15:fullRef>
                        <c15:formulaRef>
                          <c15:sqref>('Health summary'!$F$95:$F$100,'Health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summary'!$J$92:$J$110</c15:sqref>
                        </c15:fullRef>
                        <c15:formulaRef>
                          <c15:sqref>('Health summary'!$J$95:$J$100,'Health summary'!$J$106)</c15:sqref>
                        </c15:formulaRef>
                      </c:ext>
                    </c:extLst>
                    <c:numCache>
                      <c:formatCode>0.000</c:formatCode>
                      <c:ptCount val="7"/>
                      <c:pt idx="1">
                        <c:v>1.0789727800285104E-3</c:v>
                      </c:pt>
                      <c:pt idx="2">
                        <c:v>1.119290616987691E-3</c:v>
                      </c:pt>
                      <c:pt idx="3">
                        <c:v>0</c:v>
                      </c:pt>
                      <c:pt idx="4">
                        <c:v>6.5540227880196266E-4</c:v>
                      </c:pt>
                      <c:pt idx="5">
                        <c:v>0.03</c:v>
                      </c:pt>
                      <c:pt idx="6">
                        <c:v>6.5720334756750828E-4</c:v>
                      </c:pt>
                    </c:numCache>
                  </c:numRef>
                </c:val>
                <c:extLst xmlns:c15="http://schemas.microsoft.com/office/drawing/2012/chart">
                  <c:ext xmlns:c16="http://schemas.microsoft.com/office/drawing/2014/chart" uri="{C3380CC4-5D6E-409C-BE32-E72D297353CC}">
                    <c16:uniqueId val="{00000006-B7E4-4EF6-9A9E-8AD17434E92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'Health summary'!$K$90:$K$91</c15:sqref>
                        </c15:formulaRef>
                      </c:ext>
                    </c:extLst>
                    <c:strCache>
                      <c:ptCount val="2"/>
                      <c:pt idx="0">
                        <c:v>Deaths</c:v>
                      </c:pt>
                      <c:pt idx="1">
                        <c:v>N</c:v>
                      </c:pt>
                    </c:strCache>
                  </c:strRef>
                </c:tx>
                <c:spPr>
                  <a:solidFill>
                    <a:schemeClr val="accent3"/>
                  </a:solidFill>
                  <a:ln>
                    <a:noFill/>
                  </a:ln>
                  <a:effectLst/>
                </c:spPr>
                <c:invertIfNegative val="0"/>
                <c:cat>
                  <c:strRef>
                    <c:extLst>
                      <c:ext xmlns:c15="http://schemas.microsoft.com/office/drawing/2012/chart" uri="{02D57815-91ED-43cb-92C2-25804820EDAC}">
                        <c15:fullRef>
                          <c15:sqref>'Health summary'!$F$92:$F$110</c15:sqref>
                        </c15:fullRef>
                        <c15:formulaRef>
                          <c15:sqref>('Health summary'!$F$95:$F$100,'Health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summary'!$K$92:$K$110</c15:sqref>
                        </c15:fullRef>
                        <c15:formulaRef>
                          <c15:sqref>('Health summary'!$K$95:$K$100,'Health summary'!$K$106)</c15:sqref>
                        </c15:formulaRef>
                      </c:ext>
                    </c:extLst>
                    <c:numCache>
                      <c:formatCode>#,##0_ ;\-#,##0\ </c:formatCode>
                      <c:ptCount val="7"/>
                      <c:pt idx="0">
                        <c:v>0</c:v>
                      </c:pt>
                      <c:pt idx="1">
                        <c:v>1.7222671341928373</c:v>
                      </c:pt>
                      <c:pt idx="2">
                        <c:v>9.0948824038037266</c:v>
                      </c:pt>
                      <c:pt idx="3">
                        <c:v>0</c:v>
                      </c:pt>
                      <c:pt idx="4">
                        <c:v>2.4642202785765366</c:v>
                      </c:pt>
                      <c:pt idx="5">
                        <c:v>0.61252318675674355</c:v>
                      </c:pt>
                      <c:pt idx="6" formatCode="#,##0">
                        <c:v>59.842737776100023</c:v>
                      </c:pt>
                    </c:numCache>
                  </c:numRef>
                </c:val>
                <c:extLst xmlns:c15="http://schemas.microsoft.com/office/drawing/2012/chart">
                  <c:ext xmlns:c16="http://schemas.microsoft.com/office/drawing/2014/chart" uri="{C3380CC4-5D6E-409C-BE32-E72D297353CC}">
                    <c16:uniqueId val="{00000007-B7E4-4EF6-9A9E-8AD17434E92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'Health summary'!$L$90:$L$91</c15:sqref>
                        </c15:formulaRef>
                      </c:ext>
                    </c:extLst>
                    <c:strCache>
                      <c:ptCount val="2"/>
                      <c:pt idx="0">
                        <c:v>DALYS</c:v>
                      </c:pt>
                      <c:pt idx="1">
                        <c:v>PAF</c:v>
                      </c:pt>
                    </c:strCache>
                  </c:strRef>
                </c:tx>
                <c:spPr>
                  <a:solidFill>
                    <a:schemeClr val="accent4"/>
                  </a:solidFill>
                  <a:ln>
                    <a:noFill/>
                  </a:ln>
                  <a:effectLst/>
                </c:spPr>
                <c:invertIfNegative val="0"/>
                <c:cat>
                  <c:strRef>
                    <c:extLst>
                      <c:ext xmlns:c15="http://schemas.microsoft.com/office/drawing/2012/chart" uri="{02D57815-91ED-43cb-92C2-25804820EDAC}">
                        <c15:fullRef>
                          <c15:sqref>'Health summary'!$F$92:$F$110</c15:sqref>
                        </c15:fullRef>
                        <c15:formulaRef>
                          <c15:sqref>('Health summary'!$F$95:$F$100,'Health summary'!$F$106)</c15:sqref>
                        </c15:formulaRef>
                      </c:ext>
                    </c:extLst>
                    <c:strCache>
                      <c:ptCount val="7"/>
                      <c:pt idx="0">
                        <c:v>Cardiovascular disease</c:v>
                      </c:pt>
                      <c:pt idx="1">
                        <c:v>Diabetes</c:v>
                      </c:pt>
                      <c:pt idx="2">
                        <c:v>Dementia</c:v>
                      </c:pt>
                      <c:pt idx="3">
                        <c:v>Depression</c:v>
                      </c:pt>
                      <c:pt idx="4">
                        <c:v>Colon Cancer</c:v>
                      </c:pt>
                      <c:pt idx="5">
                        <c:v>Breast Cancer</c:v>
                      </c:pt>
                      <c:pt idx="6">
                        <c:v>All Cause Mortality, excl RTI</c:v>
                      </c:pt>
                    </c:strCache>
                  </c:strRef>
                </c:cat>
                <c:val>
                  <c:numRef>
                    <c:extLst>
                      <c:ext xmlns:c15="http://schemas.microsoft.com/office/drawing/2012/chart" uri="{02D57815-91ED-43cb-92C2-25804820EDAC}">
                        <c15:fullRef>
                          <c15:sqref>'Health summary'!$L$92:$L$110</c15:sqref>
                        </c15:fullRef>
                        <c15:formulaRef>
                          <c15:sqref>('Health summary'!$L$95:$L$100,'Health summary'!$L$106)</c15:sqref>
                        </c15:formulaRef>
                      </c:ext>
                    </c:extLst>
                    <c:numCache>
                      <c:formatCode>0.000</c:formatCode>
                      <c:ptCount val="7"/>
                      <c:pt idx="1">
                        <c:v>1.659019639262147E-3</c:v>
                      </c:pt>
                      <c:pt idx="2">
                        <c:v>1.1528625824952924E-3</c:v>
                      </c:pt>
                      <c:pt idx="3">
                        <c:v>4.2350777396155429E-4</c:v>
                      </c:pt>
                      <c:pt idx="4">
                        <c:v>5.7694006914455463E-4</c:v>
                      </c:pt>
                      <c:pt idx="5">
                        <c:v>4.0561953764448706E-4</c:v>
                      </c:pt>
                      <c:pt idx="6">
                        <c:v>2.2736725603032562E-4</c:v>
                      </c:pt>
                    </c:numCache>
                  </c:numRef>
                </c:val>
                <c:extLst xmlns:c15="http://schemas.microsoft.com/office/drawing/2012/chart">
                  <c:ext xmlns:c16="http://schemas.microsoft.com/office/drawing/2014/chart" uri="{C3380CC4-5D6E-409C-BE32-E72D297353CC}">
                    <c16:uniqueId val="{00000008-B7E4-4EF6-9A9E-8AD17434E92D}"/>
                  </c:ext>
                </c:extLst>
              </c15:ser>
            </c15:filteredBarSeries>
          </c:ext>
        </c:extLst>
      </c:barChart>
      <c:catAx>
        <c:axId val="112252800"/>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4336"/>
        <c:crosses val="autoZero"/>
        <c:auto val="1"/>
        <c:lblAlgn val="ctr"/>
        <c:lblOffset val="200"/>
        <c:noMultiLvlLbl val="0"/>
      </c:catAx>
      <c:valAx>
        <c:axId val="11225433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DALYs</a:t>
                </a:r>
              </a:p>
            </c:rich>
          </c:tx>
          <c:layout>
            <c:manualLayout>
              <c:xMode val="edge"/>
              <c:yMode val="edge"/>
              <c:x val="0.44759448818897635"/>
              <c:y val="0.1153306992693730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_ ;\-#,##0\ "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252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'Travel Summary'!$P$2</c:f>
          <c:strCache>
            <c:ptCount val="1"/>
            <c:pt idx="0">
              <c:v>Scenario Distances by Mode in km per Person per Year</c:v>
            </c:pt>
          </c:strCache>
        </c:strRef>
      </c:tx>
      <c:layout>
        <c:manualLayout>
          <c:xMode val="edge"/>
          <c:yMode val="edge"/>
          <c:x val="0.11891747962008205"/>
          <c:y val="3.68125481090048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'Travel Summary'!$B$5</c:f>
              <c:strCache>
                <c:ptCount val="1"/>
                <c:pt idx="0">
                  <c:v>Walk</c:v>
                </c:pt>
              </c:strCache>
            </c:strRef>
          </c:tx>
          <c:spPr>
            <a:solidFill>
              <a:schemeClr val="accent1"/>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Summary'!$B$6:$B$12</c:f>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0-8714-4429-B3BC-F6C9AE82FD7B}"/>
            </c:ext>
          </c:extLst>
        </c:ser>
        <c:ser>
          <c:idx val="1"/>
          <c:order val="1"/>
          <c:tx>
            <c:strRef>
              <c:f>'Travel Summary'!$C$5</c:f>
              <c:strCache>
                <c:ptCount val="1"/>
                <c:pt idx="0">
                  <c:v>Bike</c:v>
                </c:pt>
              </c:strCache>
            </c:strRef>
          </c:tx>
          <c:spPr>
            <a:solidFill>
              <a:schemeClr val="accent2"/>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Summary'!$C$6:$C$12</c:f>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c:ext xmlns:c16="http://schemas.microsoft.com/office/drawing/2014/chart" uri="{C3380CC4-5D6E-409C-BE32-E72D297353CC}">
              <c16:uniqueId val="{00000001-8714-4429-B3BC-F6C9AE82FD7B}"/>
            </c:ext>
          </c:extLst>
        </c:ser>
        <c:ser>
          <c:idx val="2"/>
          <c:order val="2"/>
          <c:tx>
            <c:strRef>
              <c:f>'Travel Summary'!$D$5</c:f>
              <c:strCache>
                <c:ptCount val="1"/>
                <c:pt idx="0">
                  <c:v>Car-Driver</c:v>
                </c:pt>
              </c:strCache>
            </c:strRef>
          </c:tx>
          <c:spPr>
            <a:solidFill>
              <a:schemeClr val="accent3"/>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Summary'!$D$6:$D$12</c:f>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c:ext xmlns:c16="http://schemas.microsoft.com/office/drawing/2014/chart" uri="{C3380CC4-5D6E-409C-BE32-E72D297353CC}">
              <c16:uniqueId val="{00000002-8714-4429-B3BC-F6C9AE82FD7B}"/>
            </c:ext>
          </c:extLst>
        </c:ser>
        <c:ser>
          <c:idx val="3"/>
          <c:order val="3"/>
          <c:tx>
            <c:strRef>
              <c:f>'Travel Summary'!$E$5</c:f>
              <c:strCache>
                <c:ptCount val="1"/>
                <c:pt idx="0">
                  <c:v>Passenger</c:v>
                </c:pt>
              </c:strCache>
            </c:strRef>
          </c:tx>
          <c:spPr>
            <a:solidFill>
              <a:schemeClr val="accent4"/>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Summary'!$E$6:$E$12</c:f>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c:ext xmlns:c16="http://schemas.microsoft.com/office/drawing/2014/chart" uri="{C3380CC4-5D6E-409C-BE32-E72D297353CC}">
              <c16:uniqueId val="{00000003-8714-4429-B3BC-F6C9AE82FD7B}"/>
            </c:ext>
          </c:extLst>
        </c:ser>
        <c:ser>
          <c:idx val="4"/>
          <c:order val="4"/>
          <c:tx>
            <c:strRef>
              <c:f>'Travel Summary'!$F$5</c:f>
              <c:strCache>
                <c:ptCount val="1"/>
                <c:pt idx="0">
                  <c:v>Bus</c:v>
                </c:pt>
              </c:strCache>
            </c:strRef>
          </c:tx>
          <c:spPr>
            <a:solidFill>
              <a:schemeClr val="accent5"/>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Summary'!$F$6:$F$12</c:f>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c:ext xmlns:c16="http://schemas.microsoft.com/office/drawing/2014/chart" uri="{C3380CC4-5D6E-409C-BE32-E72D297353CC}">
              <c16:uniqueId val="{00000004-8714-4429-B3BC-F6C9AE82FD7B}"/>
            </c:ext>
          </c:extLst>
        </c:ser>
        <c:ser>
          <c:idx val="5"/>
          <c:order val="5"/>
          <c:tx>
            <c:strRef>
              <c:f>'Travel Summary'!$G$5</c:f>
              <c:strCache>
                <c:ptCount val="1"/>
                <c:pt idx="0">
                  <c:v>Rail</c:v>
                </c:pt>
              </c:strCache>
            </c:strRef>
          </c:tx>
          <c:spPr>
            <a:solidFill>
              <a:schemeClr val="accent6"/>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Summary'!$G$6:$G$12</c:f>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c:ext xmlns:c16="http://schemas.microsoft.com/office/drawing/2014/chart" uri="{C3380CC4-5D6E-409C-BE32-E72D297353CC}">
              <c16:uniqueId val="{00000005-8714-4429-B3BC-F6C9AE82FD7B}"/>
            </c:ext>
          </c:extLst>
        </c:ser>
        <c:dLbls>
          <c:showLegendKey val="0"/>
          <c:showVal val="0"/>
          <c:showCatName val="0"/>
          <c:showSerName val="0"/>
          <c:showPercent val="0"/>
          <c:showBubbleSize val="0"/>
        </c:dLbls>
        <c:gapWidth val="219"/>
        <c:overlap val="-27"/>
        <c:axId val="66758528"/>
        <c:axId val="66760064"/>
        <c:extLst>
          <c:ext xmlns:c15="http://schemas.microsoft.com/office/drawing/2012/chart" uri="{02D57815-91ED-43cb-92C2-25804820EDAC}">
            <c15:filteredBarSeries>
              <c15:ser>
                <c:idx val="6"/>
                <c:order val="6"/>
                <c:tx>
                  <c:strRef>
                    <c:extLst>
                      <c:ex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c:ext xmlns:c16="http://schemas.microsoft.com/office/drawing/2014/chart" uri="{C3380CC4-5D6E-409C-BE32-E72D297353CC}">
                    <c16:uniqueId val="{00000006-8714-4429-B3BC-F6C9AE82FD7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8714-4429-B3BC-F6C9AE82FD7B}"/>
                  </c:ext>
                </c:extLst>
              </c15:ser>
            </c15:filteredBarSeries>
          </c:ext>
        </c:extLst>
      </c:barChart>
      <c:catAx>
        <c:axId val="6675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60064"/>
        <c:crosses val="autoZero"/>
        <c:auto val="1"/>
        <c:lblAlgn val="ctr"/>
        <c:lblOffset val="100"/>
        <c:noMultiLvlLbl val="0"/>
      </c:catAx>
      <c:valAx>
        <c:axId val="66760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58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'Travel Summary'!$P$2</c:f>
          <c:strCache>
            <c:ptCount val="1"/>
            <c:pt idx="0">
              <c:v>Scenario Distances by Mode in km per Person per Year</c:v>
            </c:pt>
          </c:strCache>
        </c:strRef>
      </c:tx>
      <c:layout>
        <c:manualLayout>
          <c:xMode val="edge"/>
          <c:yMode val="edge"/>
          <c:x val="0.15745103757455248"/>
          <c:y val="4.166666666666666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46108712769381"/>
          <c:y val="0.21204662501665739"/>
          <c:w val="0.78717215578605648"/>
          <c:h val="0.43462642193545387"/>
        </c:manualLayout>
      </c:layout>
      <c:barChart>
        <c:barDir val="col"/>
        <c:grouping val="stacked"/>
        <c:varyColors val="0"/>
        <c:ser>
          <c:idx val="0"/>
          <c:order val="0"/>
          <c:tx>
            <c:strRef>
              <c:f>'Travel Summary'!$B$5</c:f>
              <c:strCache>
                <c:ptCount val="1"/>
                <c:pt idx="0">
                  <c:v>Walk</c:v>
                </c:pt>
              </c:strCache>
            </c:strRef>
          </c:tx>
          <c:spPr>
            <a:solidFill>
              <a:schemeClr val="accent1"/>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Summary'!$B$6:$B$12</c:f>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0-596C-461F-BACE-48A2DD78B287}"/>
            </c:ext>
          </c:extLst>
        </c:ser>
        <c:ser>
          <c:idx val="1"/>
          <c:order val="1"/>
          <c:tx>
            <c:strRef>
              <c:f>'Travel Summary'!$C$5</c:f>
              <c:strCache>
                <c:ptCount val="1"/>
                <c:pt idx="0">
                  <c:v>Bike</c:v>
                </c:pt>
              </c:strCache>
            </c:strRef>
          </c:tx>
          <c:spPr>
            <a:solidFill>
              <a:schemeClr val="accent2"/>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Summary'!$C$6:$C$12</c:f>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c:ext xmlns:c16="http://schemas.microsoft.com/office/drawing/2014/chart" uri="{C3380CC4-5D6E-409C-BE32-E72D297353CC}">
              <c16:uniqueId val="{00000001-596C-461F-BACE-48A2DD78B287}"/>
            </c:ext>
          </c:extLst>
        </c:ser>
        <c:ser>
          <c:idx val="2"/>
          <c:order val="2"/>
          <c:tx>
            <c:strRef>
              <c:f>'Travel Summary'!$D$5</c:f>
              <c:strCache>
                <c:ptCount val="1"/>
                <c:pt idx="0">
                  <c:v>Car-Driver</c:v>
                </c:pt>
              </c:strCache>
            </c:strRef>
          </c:tx>
          <c:spPr>
            <a:solidFill>
              <a:schemeClr val="accent3"/>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Summary'!$D$6:$D$12</c:f>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c:ext xmlns:c16="http://schemas.microsoft.com/office/drawing/2014/chart" uri="{C3380CC4-5D6E-409C-BE32-E72D297353CC}">
              <c16:uniqueId val="{00000002-596C-461F-BACE-48A2DD78B287}"/>
            </c:ext>
          </c:extLst>
        </c:ser>
        <c:ser>
          <c:idx val="3"/>
          <c:order val="3"/>
          <c:tx>
            <c:strRef>
              <c:f>'Travel Summary'!$E$5</c:f>
              <c:strCache>
                <c:ptCount val="1"/>
                <c:pt idx="0">
                  <c:v>Passenger</c:v>
                </c:pt>
              </c:strCache>
            </c:strRef>
          </c:tx>
          <c:spPr>
            <a:solidFill>
              <a:schemeClr val="accent4"/>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Summary'!$E$6:$E$12</c:f>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c:ext xmlns:c16="http://schemas.microsoft.com/office/drawing/2014/chart" uri="{C3380CC4-5D6E-409C-BE32-E72D297353CC}">
              <c16:uniqueId val="{00000003-596C-461F-BACE-48A2DD78B287}"/>
            </c:ext>
          </c:extLst>
        </c:ser>
        <c:ser>
          <c:idx val="4"/>
          <c:order val="4"/>
          <c:tx>
            <c:strRef>
              <c:f>'Travel Summary'!$F$5</c:f>
              <c:strCache>
                <c:ptCount val="1"/>
                <c:pt idx="0">
                  <c:v>Bus</c:v>
                </c:pt>
              </c:strCache>
            </c:strRef>
          </c:tx>
          <c:spPr>
            <a:solidFill>
              <a:schemeClr val="accent5"/>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Summary'!$F$6:$F$12</c:f>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c:ext xmlns:c16="http://schemas.microsoft.com/office/drawing/2014/chart" uri="{C3380CC4-5D6E-409C-BE32-E72D297353CC}">
              <c16:uniqueId val="{00000004-596C-461F-BACE-48A2DD78B287}"/>
            </c:ext>
          </c:extLst>
        </c:ser>
        <c:ser>
          <c:idx val="5"/>
          <c:order val="5"/>
          <c:tx>
            <c:strRef>
              <c:f>'Travel Summary'!$G$5</c:f>
              <c:strCache>
                <c:ptCount val="1"/>
                <c:pt idx="0">
                  <c:v>Rail</c:v>
                </c:pt>
              </c:strCache>
            </c:strRef>
          </c:tx>
          <c:spPr>
            <a:solidFill>
              <a:schemeClr val="accent6"/>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Summary'!$G$6:$G$12</c:f>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c:ext xmlns:c16="http://schemas.microsoft.com/office/drawing/2014/chart" uri="{C3380CC4-5D6E-409C-BE32-E72D297353CC}">
              <c16:uniqueId val="{00000005-596C-461F-BACE-48A2DD78B287}"/>
            </c:ext>
          </c:extLst>
        </c:ser>
        <c:dLbls>
          <c:showLegendKey val="0"/>
          <c:showVal val="0"/>
          <c:showCatName val="0"/>
          <c:showSerName val="0"/>
          <c:showPercent val="0"/>
          <c:showBubbleSize val="0"/>
        </c:dLbls>
        <c:gapWidth val="150"/>
        <c:overlap val="100"/>
        <c:axId val="67053056"/>
        <c:axId val="67054592"/>
      </c:barChart>
      <c:catAx>
        <c:axId val="6705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54592"/>
        <c:crosses val="autoZero"/>
        <c:auto val="1"/>
        <c:lblAlgn val="ctr"/>
        <c:lblOffset val="100"/>
        <c:noMultiLvlLbl val="0"/>
      </c:catAx>
      <c:valAx>
        <c:axId val="67054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5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nchor="t" anchorCtr="0"/>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Scenario Distances in km per Person per Year</a:t>
            </a:r>
          </a:p>
        </c:rich>
      </c:tx>
      <c:layout>
        <c:manualLayout>
          <c:xMode val="edge"/>
          <c:yMode val="edge"/>
          <c:x val="0.11828678356801089"/>
          <c:y val="3.9861073979390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'Travel Summary'!$B$5</c:f>
              <c:strCache>
                <c:ptCount val="1"/>
                <c:pt idx="0">
                  <c:v>Walk</c:v>
                </c:pt>
              </c:strCache>
            </c:strRef>
          </c:tx>
          <c:spPr>
            <a:solidFill>
              <a:schemeClr val="accent1"/>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Summary'!$B$6:$B$12</c:f>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0-3FAE-4B78-818C-D7EF6A702C5B}"/>
            </c:ext>
          </c:extLst>
        </c:ser>
        <c:dLbls>
          <c:showLegendKey val="0"/>
          <c:showVal val="0"/>
          <c:showCatName val="0"/>
          <c:showSerName val="0"/>
          <c:showPercent val="0"/>
          <c:showBubbleSize val="0"/>
        </c:dLbls>
        <c:gapWidth val="219"/>
        <c:overlap val="-27"/>
        <c:axId val="67091840"/>
        <c:axId val="67097728"/>
        <c:extLst>
          <c:ext xmlns:c15="http://schemas.microsoft.com/office/drawing/2012/chart" uri="{02D57815-91ED-43cb-92C2-25804820EDAC}">
            <c15:filteredBarSeries>
              <c15:ser>
                <c:idx val="1"/>
                <c:order val="1"/>
                <c:tx>
                  <c:strRef>
                    <c:extLst>
                      <c:ext uri="{02D57815-91ED-43cb-92C2-25804820EDAC}">
                        <c15:formulaRef>
                          <c15:sqref>'Travel Summary'!$C$5</c15:sqref>
                        </c15:formulaRef>
                      </c:ext>
                    </c:extLst>
                    <c:strCache>
                      <c:ptCount val="1"/>
                      <c:pt idx="0">
                        <c:v>Bike</c:v>
                      </c:pt>
                    </c:strCache>
                  </c:strRef>
                </c:tx>
                <c:spPr>
                  <a:solidFill>
                    <a:schemeClr val="accent2"/>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Summary'!$C$6:$C$12</c15:sqref>
                        </c15:formulaRef>
                      </c:ext>
                    </c:extLst>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c:ext xmlns:c16="http://schemas.microsoft.com/office/drawing/2014/chart" uri="{C3380CC4-5D6E-409C-BE32-E72D297353CC}">
                    <c16:uniqueId val="{00000001-3FAE-4B78-818C-D7EF6A702C5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'Travel Summary'!$D$5</c15:sqref>
                        </c15:formulaRef>
                      </c:ext>
                    </c:extLst>
                    <c:strCache>
                      <c:ptCount val="1"/>
                      <c:pt idx="0">
                        <c:v>Car-Driver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Summary'!$D$6:$D$12</c15:sqref>
                        </c15:formulaRef>
                      </c:ext>
                    </c:extLst>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xmlns:c15="http://schemas.microsoft.com/office/drawing/2012/chart">
                  <c:ext xmlns:c16="http://schemas.microsoft.com/office/drawing/2014/chart" uri="{C3380CC4-5D6E-409C-BE32-E72D297353CC}">
                    <c16:uniqueId val="{00000002-3FAE-4B78-818C-D7EF6A702C5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'Travel Summary'!$E$5</c15:sqref>
                        </c15:formulaRef>
                      </c:ext>
                    </c:extLst>
                    <c:strCache>
                      <c:ptCount val="1"/>
                      <c:pt idx="0">
                        <c:v>Passenger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Summary'!$E$6:$E$12</c15:sqref>
                        </c15:formulaRef>
                      </c:ext>
                    </c:extLst>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xmlns:c15="http://schemas.microsoft.com/office/drawing/2012/chart">
                  <c:ext xmlns:c16="http://schemas.microsoft.com/office/drawing/2014/chart" uri="{C3380CC4-5D6E-409C-BE32-E72D297353CC}">
                    <c16:uniqueId val="{00000003-3FAE-4B78-818C-D7EF6A702C5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'Travel Summary'!$F$5</c15:sqref>
                        </c15:formulaRef>
                      </c:ext>
                    </c:extLst>
                    <c:strCache>
                      <c:ptCount val="1"/>
                      <c:pt idx="0">
                        <c:v>Bus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Summary'!$F$6:$F$12</c15:sqref>
                        </c15:formulaRef>
                      </c:ext>
                    </c:extLst>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xmlns:c15="http://schemas.microsoft.com/office/drawing/2012/chart">
                  <c:ext xmlns:c16="http://schemas.microsoft.com/office/drawing/2014/chart" uri="{C3380CC4-5D6E-409C-BE32-E72D297353CC}">
                    <c16:uniqueId val="{00000004-3FAE-4B78-818C-D7EF6A702C5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'Travel Summary'!$G$5</c15:sqref>
                        </c15:formulaRef>
                      </c:ext>
                    </c:extLst>
                    <c:strCache>
                      <c:ptCount val="1"/>
                      <c:pt idx="0">
                        <c:v>Rail</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Summary'!$G$6:$G$12</c15:sqref>
                        </c15:formulaRef>
                      </c:ext>
                    </c:extLst>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xmlns:c15="http://schemas.microsoft.com/office/drawing/2012/chart">
                  <c:ext xmlns:c16="http://schemas.microsoft.com/office/drawing/2014/chart" uri="{C3380CC4-5D6E-409C-BE32-E72D297353CC}">
                    <c16:uniqueId val="{00000005-3FAE-4B78-818C-D7EF6A702C5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xmlns:c15="http://schemas.microsoft.com/office/drawing/2012/chart">
                  <c:ext xmlns:c16="http://schemas.microsoft.com/office/drawing/2014/chart" uri="{C3380CC4-5D6E-409C-BE32-E72D297353CC}">
                    <c16:uniqueId val="{00000006-3FAE-4B78-818C-D7EF6A702C5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3FAE-4B78-818C-D7EF6A702C5B}"/>
                  </c:ext>
                </c:extLst>
              </c15:ser>
            </c15:filteredBarSeries>
          </c:ext>
        </c:extLst>
      </c:barChart>
      <c:catAx>
        <c:axId val="67091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97728"/>
        <c:crosses val="autoZero"/>
        <c:auto val="1"/>
        <c:lblAlgn val="ctr"/>
        <c:lblOffset val="100"/>
        <c:noMultiLvlLbl val="0"/>
      </c:catAx>
      <c:valAx>
        <c:axId val="67097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91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NZ"/>
              <a:t>Scenario Distances in km per Person per Year</a:t>
            </a:r>
          </a:p>
        </c:rich>
      </c:tx>
      <c:layout>
        <c:manualLayout>
          <c:xMode val="edge"/>
          <c:yMode val="edge"/>
          <c:x val="0.13735795220719371"/>
          <c:y val="3.395061728395061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'Travel Summary'!$C$5</c:f>
              <c:strCache>
                <c:ptCount val="1"/>
                <c:pt idx="0">
                  <c:v>Bike</c:v>
                </c:pt>
              </c:strCache>
              <c:extLst xmlns:c15="http://schemas.microsoft.com/office/drawing/2012/chart"/>
            </c:strRef>
          </c:tx>
          <c:spPr>
            <a:solidFill>
              <a:schemeClr val="accent2"/>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extLst xmlns:c15="http://schemas.microsoft.com/office/drawing/2012/chart"/>
            </c:strRef>
          </c:cat>
          <c:val>
            <c:numRef>
              <c:f>'Travel Summary'!$C$6:$C$12</c:f>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extLst xmlns:c15="http://schemas.microsoft.com/office/drawing/2012/chart"/>
            </c:numRef>
          </c:val>
          <c:extLst>
            <c:ext xmlns:c16="http://schemas.microsoft.com/office/drawing/2014/chart" uri="{C3380CC4-5D6E-409C-BE32-E72D297353CC}">
              <c16:uniqueId val="{00000000-29F1-46A9-B594-7B0D6420455E}"/>
            </c:ext>
          </c:extLst>
        </c:ser>
        <c:dLbls>
          <c:showLegendKey val="0"/>
          <c:showVal val="0"/>
          <c:showCatName val="0"/>
          <c:showSerName val="0"/>
          <c:showPercent val="0"/>
          <c:showBubbleSize val="0"/>
        </c:dLbls>
        <c:gapWidth val="219"/>
        <c:overlap val="-27"/>
        <c:axId val="68899200"/>
        <c:axId val="68900736"/>
        <c:extLst>
          <c:ext xmlns:c15="http://schemas.microsoft.com/office/drawing/2012/chart" uri="{02D57815-91ED-43cb-92C2-25804820EDAC}">
            <c15:filteredBarSeries>
              <c15:ser>
                <c:idx val="0"/>
                <c:order val="0"/>
                <c:tx>
                  <c:strRef>
                    <c:extLst>
                      <c:ext uri="{02D57815-91ED-43cb-92C2-25804820EDAC}">
                        <c15:formulaRef>
                          <c15:sqref>'Travel Summary'!$B$5</c15:sqref>
                        </c15:formulaRef>
                      </c:ext>
                    </c:extLst>
                    <c:strCache>
                      <c:ptCount val="1"/>
                      <c:pt idx="0">
                        <c:v>Walk</c:v>
                      </c:pt>
                    </c:strCache>
                  </c:strRef>
                </c:tx>
                <c:spPr>
                  <a:solidFill>
                    <a:srgbClr val="C00000"/>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Summary'!$B$6:$B$12</c15:sqref>
                        </c15:formulaRef>
                      </c:ext>
                    </c:extLst>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1-29F1-46A9-B594-7B0D6420455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'Travel Summary'!$D$5</c15:sqref>
                        </c15:formulaRef>
                      </c:ext>
                    </c:extLst>
                    <c:strCache>
                      <c:ptCount val="1"/>
                      <c:pt idx="0">
                        <c:v>Car-Driver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Summary'!$D$6:$D$12</c15:sqref>
                        </c15:formulaRef>
                      </c:ext>
                    </c:extLst>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xmlns:c15="http://schemas.microsoft.com/office/drawing/2012/chart">
                  <c:ext xmlns:c16="http://schemas.microsoft.com/office/drawing/2014/chart" uri="{C3380CC4-5D6E-409C-BE32-E72D297353CC}">
                    <c16:uniqueId val="{00000002-29F1-46A9-B594-7B0D6420455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'Travel Summary'!$E$5</c15:sqref>
                        </c15:formulaRef>
                      </c:ext>
                    </c:extLst>
                    <c:strCache>
                      <c:ptCount val="1"/>
                      <c:pt idx="0">
                        <c:v>Passenger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Summary'!$E$6:$E$12</c15:sqref>
                        </c15:formulaRef>
                      </c:ext>
                    </c:extLst>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xmlns:c15="http://schemas.microsoft.com/office/drawing/2012/chart">
                  <c:ext xmlns:c16="http://schemas.microsoft.com/office/drawing/2014/chart" uri="{C3380CC4-5D6E-409C-BE32-E72D297353CC}">
                    <c16:uniqueId val="{00000003-29F1-46A9-B594-7B0D6420455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'Travel Summary'!$F$5</c15:sqref>
                        </c15:formulaRef>
                      </c:ext>
                    </c:extLst>
                    <c:strCache>
                      <c:ptCount val="1"/>
                      <c:pt idx="0">
                        <c:v>Bus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Summary'!$F$6:$F$12</c15:sqref>
                        </c15:formulaRef>
                      </c:ext>
                    </c:extLst>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xmlns:c15="http://schemas.microsoft.com/office/drawing/2012/chart">
                  <c:ext xmlns:c16="http://schemas.microsoft.com/office/drawing/2014/chart" uri="{C3380CC4-5D6E-409C-BE32-E72D297353CC}">
                    <c16:uniqueId val="{00000004-29F1-46A9-B594-7B0D6420455E}"/>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'Travel Summary'!$G$5</c15:sqref>
                        </c15:formulaRef>
                      </c:ext>
                    </c:extLst>
                    <c:strCache>
                      <c:ptCount val="1"/>
                      <c:pt idx="0">
                        <c:v>Rail</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Summary'!$G$6:$G$12</c15:sqref>
                        </c15:formulaRef>
                      </c:ext>
                    </c:extLst>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xmlns:c15="http://schemas.microsoft.com/office/drawing/2012/chart">
                  <c:ext xmlns:c16="http://schemas.microsoft.com/office/drawing/2014/chart" uri="{C3380CC4-5D6E-409C-BE32-E72D297353CC}">
                    <c16:uniqueId val="{00000005-29F1-46A9-B594-7B0D6420455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xmlns:c15="http://schemas.microsoft.com/office/drawing/2012/chart">
                  <c:ext xmlns:c16="http://schemas.microsoft.com/office/drawing/2014/chart" uri="{C3380CC4-5D6E-409C-BE32-E72D297353CC}">
                    <c16:uniqueId val="{00000006-29F1-46A9-B594-7B0D6420455E}"/>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29F1-46A9-B594-7B0D6420455E}"/>
                  </c:ext>
                </c:extLst>
              </c15:ser>
            </c15:filteredBarSeries>
          </c:ext>
        </c:extLst>
      </c:barChart>
      <c:catAx>
        <c:axId val="68899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00736"/>
        <c:crosses val="autoZero"/>
        <c:auto val="1"/>
        <c:lblAlgn val="ctr"/>
        <c:lblOffset val="100"/>
        <c:noMultiLvlLbl val="0"/>
      </c:catAx>
      <c:valAx>
        <c:axId val="68900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99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Scenario Distances in km per Person per Year</a:t>
            </a:r>
          </a:p>
        </c:rich>
      </c:tx>
      <c:layout>
        <c:manualLayout>
          <c:xMode val="edge"/>
          <c:yMode val="edge"/>
          <c:x val="0.21960878201035691"/>
          <c:y val="4.374224472641399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373541574484228E-2"/>
          <c:y val="0.15225545978845892"/>
          <c:w val="0.87757854787894107"/>
          <c:h val="0.61279028907469579"/>
        </c:manualLayout>
      </c:layout>
      <c:barChart>
        <c:barDir val="col"/>
        <c:grouping val="clustered"/>
        <c:varyColors val="0"/>
        <c:ser>
          <c:idx val="2"/>
          <c:order val="2"/>
          <c:tx>
            <c:strRef>
              <c:f>'Travel Summary'!$D$5</c:f>
              <c:strCache>
                <c:ptCount val="1"/>
                <c:pt idx="0">
                  <c:v>Car-Driver</c:v>
                </c:pt>
              </c:strCache>
              <c:extLst xmlns:c15="http://schemas.microsoft.com/office/drawing/2012/chart"/>
            </c:strRef>
          </c:tx>
          <c:spPr>
            <a:solidFill>
              <a:schemeClr val="accent3"/>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extLst xmlns:c15="http://schemas.microsoft.com/office/drawing/2012/chart"/>
            </c:strRef>
          </c:cat>
          <c:val>
            <c:numRef>
              <c:f>'Travel Summary'!$D$6:$D$12</c:f>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extLst xmlns:c15="http://schemas.microsoft.com/office/drawing/2012/chart"/>
            </c:numRef>
          </c:val>
          <c:extLst>
            <c:ext xmlns:c16="http://schemas.microsoft.com/office/drawing/2014/chart" uri="{C3380CC4-5D6E-409C-BE32-E72D297353CC}">
              <c16:uniqueId val="{00000000-2B66-4CFC-9580-032AA662DA25}"/>
            </c:ext>
          </c:extLst>
        </c:ser>
        <c:ser>
          <c:idx val="3"/>
          <c:order val="3"/>
          <c:tx>
            <c:strRef>
              <c:f>'Travel Summary'!$E$5</c:f>
              <c:strCache>
                <c:ptCount val="1"/>
                <c:pt idx="0">
                  <c:v>Passenger</c:v>
                </c:pt>
              </c:strCache>
              <c:extLst xmlns:c15="http://schemas.microsoft.com/office/drawing/2012/chart"/>
            </c:strRef>
          </c:tx>
          <c:spPr>
            <a:solidFill>
              <a:schemeClr val="accent4"/>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extLst xmlns:c15="http://schemas.microsoft.com/office/drawing/2012/chart"/>
            </c:strRef>
          </c:cat>
          <c:val>
            <c:numRef>
              <c:f>'Travel Summary'!$E$6:$E$12</c:f>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extLst xmlns:c15="http://schemas.microsoft.com/office/drawing/2012/chart"/>
            </c:numRef>
          </c:val>
          <c:extLst>
            <c:ext xmlns:c16="http://schemas.microsoft.com/office/drawing/2014/chart" uri="{C3380CC4-5D6E-409C-BE32-E72D297353CC}">
              <c16:uniqueId val="{00000001-2B66-4CFC-9580-032AA662DA25}"/>
            </c:ext>
          </c:extLst>
        </c:ser>
        <c:dLbls>
          <c:showLegendKey val="0"/>
          <c:showVal val="0"/>
          <c:showCatName val="0"/>
          <c:showSerName val="0"/>
          <c:showPercent val="0"/>
          <c:showBubbleSize val="0"/>
        </c:dLbls>
        <c:gapWidth val="219"/>
        <c:overlap val="-27"/>
        <c:axId val="68930560"/>
        <c:axId val="68940544"/>
        <c:extLst>
          <c:ext xmlns:c15="http://schemas.microsoft.com/office/drawing/2012/chart" uri="{02D57815-91ED-43cb-92C2-25804820EDAC}">
            <c15:filteredBarSeries>
              <c15:ser>
                <c:idx val="0"/>
                <c:order val="0"/>
                <c:tx>
                  <c:strRef>
                    <c:extLst>
                      <c:ext uri="{02D57815-91ED-43cb-92C2-25804820EDAC}">
                        <c15:formulaRef>
                          <c15:sqref>'Travel Summary'!$B$5</c15:sqref>
                        </c15:formulaRef>
                      </c:ext>
                    </c:extLst>
                    <c:strCache>
                      <c:ptCount val="1"/>
                      <c:pt idx="0">
                        <c:v>Walk</c:v>
                      </c:pt>
                    </c:strCache>
                  </c:strRef>
                </c:tx>
                <c:spPr>
                  <a:solidFill>
                    <a:srgbClr val="C00000"/>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Summary'!$B$6:$B$12</c15:sqref>
                        </c15:formulaRef>
                      </c:ext>
                    </c:extLst>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2-2B66-4CFC-9580-032AA662DA2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'Travel Summary'!$C$5</c15:sqref>
                        </c15:formulaRef>
                      </c:ext>
                    </c:extLst>
                    <c:strCache>
                      <c:ptCount val="1"/>
                      <c:pt idx="0">
                        <c:v>Bike</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Summary'!$C$6:$C$12</c15:sqref>
                        </c15:formulaRef>
                      </c:ext>
                    </c:extLst>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xmlns:c15="http://schemas.microsoft.com/office/drawing/2012/chart">
                  <c:ext xmlns:c16="http://schemas.microsoft.com/office/drawing/2014/chart" uri="{C3380CC4-5D6E-409C-BE32-E72D297353CC}">
                    <c16:uniqueId val="{00000003-2B66-4CFC-9580-032AA662DA2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'Travel Summary'!$F$5</c15:sqref>
                        </c15:formulaRef>
                      </c:ext>
                    </c:extLst>
                    <c:strCache>
                      <c:ptCount val="1"/>
                      <c:pt idx="0">
                        <c:v>Bus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Summary'!$F$6:$F$12</c15:sqref>
                        </c15:formulaRef>
                      </c:ext>
                    </c:extLst>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xmlns:c15="http://schemas.microsoft.com/office/drawing/2012/chart">
                  <c:ext xmlns:c16="http://schemas.microsoft.com/office/drawing/2014/chart" uri="{C3380CC4-5D6E-409C-BE32-E72D297353CC}">
                    <c16:uniqueId val="{00000004-2B66-4CFC-9580-032AA662DA2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'Travel Summary'!$G$5</c15:sqref>
                        </c15:formulaRef>
                      </c:ext>
                    </c:extLst>
                    <c:strCache>
                      <c:ptCount val="1"/>
                      <c:pt idx="0">
                        <c:v>Rail</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Summary'!$G$6:$G$12</c15:sqref>
                        </c15:formulaRef>
                      </c:ext>
                    </c:extLst>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xmlns:c15="http://schemas.microsoft.com/office/drawing/2012/chart">
                  <c:ext xmlns:c16="http://schemas.microsoft.com/office/drawing/2014/chart" uri="{C3380CC4-5D6E-409C-BE32-E72D297353CC}">
                    <c16:uniqueId val="{00000005-2B66-4CFC-9580-032AA662DA2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xmlns:c15="http://schemas.microsoft.com/office/drawing/2012/chart">
                  <c:ext xmlns:c16="http://schemas.microsoft.com/office/drawing/2014/chart" uri="{C3380CC4-5D6E-409C-BE32-E72D297353CC}">
                    <c16:uniqueId val="{00000006-2B66-4CFC-9580-032AA662DA2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2B66-4CFC-9580-032AA662DA25}"/>
                  </c:ext>
                </c:extLst>
              </c15:ser>
            </c15:filteredBarSeries>
          </c:ext>
        </c:extLst>
      </c:barChart>
      <c:catAx>
        <c:axId val="68930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40544"/>
        <c:crosses val="autoZero"/>
        <c:auto val="1"/>
        <c:lblAlgn val="ctr"/>
        <c:lblOffset val="100"/>
        <c:noMultiLvlLbl val="0"/>
      </c:catAx>
      <c:valAx>
        <c:axId val="68940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0560"/>
        <c:crosses val="autoZero"/>
        <c:crossBetween val="between"/>
      </c:valAx>
      <c:spPr>
        <a:noFill/>
        <a:ln>
          <a:noFill/>
        </a:ln>
        <a:effectLst/>
      </c:spPr>
    </c:plotArea>
    <c:legend>
      <c:legendPos val="r"/>
      <c:layout>
        <c:manualLayout>
          <c:xMode val="edge"/>
          <c:yMode val="edge"/>
          <c:x val="0.28352876498546209"/>
          <c:y val="0.8422543071819093"/>
          <c:w val="0.38109985328413981"/>
          <c:h val="0.153713961523097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Scenario Distances in km per Person per Year</a:t>
            </a:r>
          </a:p>
        </c:rich>
      </c:tx>
      <c:layout>
        <c:manualLayout>
          <c:xMode val="edge"/>
          <c:yMode val="edge"/>
          <c:x val="0.13735795220719371"/>
          <c:y val="2.77780482959304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08540700705094"/>
          <c:y val="0.23684892232060425"/>
          <c:w val="0.8058112248164101"/>
          <c:h val="0.40446867854263197"/>
        </c:manualLayout>
      </c:layout>
      <c:barChart>
        <c:barDir val="col"/>
        <c:grouping val="clustered"/>
        <c:varyColors val="0"/>
        <c:ser>
          <c:idx val="4"/>
          <c:order val="4"/>
          <c:tx>
            <c:strRef>
              <c:f>'Travel Summary'!$F$5</c:f>
              <c:strCache>
                <c:ptCount val="1"/>
                <c:pt idx="0">
                  <c:v>Bus</c:v>
                </c:pt>
              </c:strCache>
              <c:extLst xmlns:c15="http://schemas.microsoft.com/office/drawing/2012/chart"/>
            </c:strRef>
          </c:tx>
          <c:spPr>
            <a:solidFill>
              <a:schemeClr val="accent5"/>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extLst xmlns:c15="http://schemas.microsoft.com/office/drawing/2012/chart"/>
            </c:strRef>
          </c:cat>
          <c:val>
            <c:numRef>
              <c:f>'Travel Summary'!$F$6:$F$12</c:f>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extLst xmlns:c15="http://schemas.microsoft.com/office/drawing/2012/chart"/>
            </c:numRef>
          </c:val>
          <c:extLst>
            <c:ext xmlns:c16="http://schemas.microsoft.com/office/drawing/2014/chart" uri="{C3380CC4-5D6E-409C-BE32-E72D297353CC}">
              <c16:uniqueId val="{00000000-DF48-40C7-82D0-AD38B3B9DA08}"/>
            </c:ext>
          </c:extLst>
        </c:ser>
        <c:dLbls>
          <c:showLegendKey val="0"/>
          <c:showVal val="0"/>
          <c:showCatName val="0"/>
          <c:showSerName val="0"/>
          <c:showPercent val="0"/>
          <c:showBubbleSize val="0"/>
        </c:dLbls>
        <c:gapWidth val="219"/>
        <c:overlap val="-27"/>
        <c:axId val="68972928"/>
        <c:axId val="68974464"/>
        <c:extLst>
          <c:ext xmlns:c15="http://schemas.microsoft.com/office/drawing/2012/chart" uri="{02D57815-91ED-43cb-92C2-25804820EDAC}">
            <c15:filteredBarSeries>
              <c15:ser>
                <c:idx val="0"/>
                <c:order val="0"/>
                <c:tx>
                  <c:strRef>
                    <c:extLst>
                      <c:ext uri="{02D57815-91ED-43cb-92C2-25804820EDAC}">
                        <c15:formulaRef>
                          <c15:sqref>'Travel Summary'!$B$5</c15:sqref>
                        </c15:formulaRef>
                      </c:ext>
                    </c:extLst>
                    <c:strCache>
                      <c:ptCount val="1"/>
                      <c:pt idx="0">
                        <c:v>Walk</c:v>
                      </c:pt>
                    </c:strCache>
                  </c:strRef>
                </c:tx>
                <c:spPr>
                  <a:solidFill>
                    <a:schemeClr val="accent1"/>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Summary'!$B$6:$B$12</c15:sqref>
                        </c15:formulaRef>
                      </c:ext>
                    </c:extLst>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1-DF48-40C7-82D0-AD38B3B9DA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'Travel Summary'!$C$5</c15:sqref>
                        </c15:formulaRef>
                      </c:ext>
                    </c:extLst>
                    <c:strCache>
                      <c:ptCount val="1"/>
                      <c:pt idx="0">
                        <c:v>Bike</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Summary'!$C$6:$C$12</c15:sqref>
                        </c15:formulaRef>
                      </c:ext>
                    </c:extLst>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xmlns:c15="http://schemas.microsoft.com/office/drawing/2012/chart">
                  <c:ext xmlns:c16="http://schemas.microsoft.com/office/drawing/2014/chart" uri="{C3380CC4-5D6E-409C-BE32-E72D297353CC}">
                    <c16:uniqueId val="{00000002-DF48-40C7-82D0-AD38B3B9DA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'Travel Summary'!$D$5</c15:sqref>
                        </c15:formulaRef>
                      </c:ext>
                    </c:extLst>
                    <c:strCache>
                      <c:ptCount val="1"/>
                      <c:pt idx="0">
                        <c:v>Car-Driver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Summary'!$D$6:$D$12</c15:sqref>
                        </c15:formulaRef>
                      </c:ext>
                    </c:extLst>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xmlns:c15="http://schemas.microsoft.com/office/drawing/2012/chart">
                  <c:ext xmlns:c16="http://schemas.microsoft.com/office/drawing/2014/chart" uri="{C3380CC4-5D6E-409C-BE32-E72D297353CC}">
                    <c16:uniqueId val="{00000003-DF48-40C7-82D0-AD38B3B9DA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'Travel Summary'!$E$5</c15:sqref>
                        </c15:formulaRef>
                      </c:ext>
                    </c:extLst>
                    <c:strCache>
                      <c:ptCount val="1"/>
                      <c:pt idx="0">
                        <c:v>Passenger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Summary'!$E$6:$E$12</c15:sqref>
                        </c15:formulaRef>
                      </c:ext>
                    </c:extLst>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xmlns:c15="http://schemas.microsoft.com/office/drawing/2012/chart">
                  <c:ext xmlns:c16="http://schemas.microsoft.com/office/drawing/2014/chart" uri="{C3380CC4-5D6E-409C-BE32-E72D297353CC}">
                    <c16:uniqueId val="{00000004-DF48-40C7-82D0-AD38B3B9DA0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'Travel Summary'!$G$5</c15:sqref>
                        </c15:formulaRef>
                      </c:ext>
                    </c:extLst>
                    <c:strCache>
                      <c:ptCount val="1"/>
                      <c:pt idx="0">
                        <c:v>Rail</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Summary'!$G$6:$G$12</c15:sqref>
                        </c15:formulaRef>
                      </c:ext>
                    </c:extLst>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numRef>
                </c:val>
                <c:extLst xmlns:c15="http://schemas.microsoft.com/office/drawing/2012/chart">
                  <c:ext xmlns:c16="http://schemas.microsoft.com/office/drawing/2014/chart" uri="{C3380CC4-5D6E-409C-BE32-E72D297353CC}">
                    <c16:uniqueId val="{00000005-DF48-40C7-82D0-AD38B3B9DA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xmlns:c15="http://schemas.microsoft.com/office/drawing/2012/chart">
                  <c:ext xmlns:c16="http://schemas.microsoft.com/office/drawing/2014/chart" uri="{C3380CC4-5D6E-409C-BE32-E72D297353CC}">
                    <c16:uniqueId val="{00000006-DF48-40C7-82D0-AD38B3B9DA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DF48-40C7-82D0-AD38B3B9DA08}"/>
                  </c:ext>
                </c:extLst>
              </c15:ser>
            </c15:filteredBarSeries>
          </c:ext>
        </c:extLst>
      </c:barChart>
      <c:catAx>
        <c:axId val="68972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4464"/>
        <c:crosses val="autoZero"/>
        <c:auto val="1"/>
        <c:lblAlgn val="ctr"/>
        <c:lblOffset val="100"/>
        <c:noMultiLvlLbl val="0"/>
      </c:catAx>
      <c:valAx>
        <c:axId val="68974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a:t>Scenario Distances in km per Person per Year</a:t>
            </a:r>
          </a:p>
        </c:rich>
      </c:tx>
      <c:layout>
        <c:manualLayout>
          <c:xMode val="edge"/>
          <c:yMode val="edge"/>
          <c:x val="0.13735813277446182"/>
          <c:y val="2.7777791279183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14796674798017"/>
          <c:y val="0.23024702549189657"/>
          <c:w val="0.79864118001615225"/>
          <c:h val="0.38085611979008727"/>
        </c:manualLayout>
      </c:layout>
      <c:barChart>
        <c:barDir val="col"/>
        <c:grouping val="clustered"/>
        <c:varyColors val="0"/>
        <c:ser>
          <c:idx val="5"/>
          <c:order val="5"/>
          <c:tx>
            <c:strRef>
              <c:f>'Travel Summary'!$G$5</c:f>
              <c:strCache>
                <c:ptCount val="1"/>
                <c:pt idx="0">
                  <c:v>Rail</c:v>
                </c:pt>
              </c:strCache>
              <c:extLst xmlns:c15="http://schemas.microsoft.com/office/drawing/2012/chart"/>
            </c:strRef>
          </c:tx>
          <c:spPr>
            <a:solidFill>
              <a:schemeClr val="accent6"/>
            </a:solidFill>
            <a:ln>
              <a:noFill/>
            </a:ln>
            <a:effectLst/>
          </c:spPr>
          <c:invertIfNegative val="0"/>
          <c:cat>
            <c:strRef>
              <c:f>'Travel Summary'!$A$6:$A$12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extLst xmlns:c15="http://schemas.microsoft.com/office/drawing/2012/chart"/>
            </c:strRef>
          </c:cat>
          <c:val>
            <c:numRef>
              <c:f>'Travel Summary'!$G$6:$G$12</c:f>
              <c:numCache>
                <c:formatCode>#,##0</c:formatCode>
                <c:ptCount val="7"/>
                <c:pt idx="0">
                  <c:v>102.78262202809796</c:v>
                </c:pt>
                <c:pt idx="1">
                  <c:v>340.89081536091174</c:v>
                </c:pt>
                <c:pt idx="2">
                  <c:v>393.76489314414886</c:v>
                </c:pt>
                <c:pt idx="3">
                  <c:v>286.11674020970514</c:v>
                </c:pt>
                <c:pt idx="4">
                  <c:v>289.3270718296514</c:v>
                </c:pt>
                <c:pt idx="5">
                  <c:v>219.54827773394879</c:v>
                </c:pt>
                <c:pt idx="6">
                  <c:v>196.46934111815278</c:v>
                </c:pt>
              </c:numCache>
              <c:extLst xmlns:c15="http://schemas.microsoft.com/office/drawing/2012/chart"/>
            </c:numRef>
          </c:val>
          <c:extLst>
            <c:ext xmlns:c16="http://schemas.microsoft.com/office/drawing/2014/chart" uri="{C3380CC4-5D6E-409C-BE32-E72D297353CC}">
              <c16:uniqueId val="{00000000-2F2C-4654-94A3-850CA3D51961}"/>
            </c:ext>
          </c:extLst>
        </c:ser>
        <c:dLbls>
          <c:showLegendKey val="0"/>
          <c:showVal val="0"/>
          <c:showCatName val="0"/>
          <c:showSerName val="0"/>
          <c:showPercent val="0"/>
          <c:showBubbleSize val="0"/>
        </c:dLbls>
        <c:gapWidth val="219"/>
        <c:overlap val="-27"/>
        <c:axId val="69019136"/>
        <c:axId val="69020672"/>
        <c:extLst>
          <c:ext xmlns:c15="http://schemas.microsoft.com/office/drawing/2012/chart" uri="{02D57815-91ED-43cb-92C2-25804820EDAC}">
            <c15:filteredBarSeries>
              <c15:ser>
                <c:idx val="0"/>
                <c:order val="0"/>
                <c:tx>
                  <c:strRef>
                    <c:extLst>
                      <c:ext uri="{02D57815-91ED-43cb-92C2-25804820EDAC}">
                        <c15:formulaRef>
                          <c15:sqref>'Travel Summary'!$B$5</c15:sqref>
                        </c15:formulaRef>
                      </c:ext>
                    </c:extLst>
                    <c:strCache>
                      <c:ptCount val="1"/>
                      <c:pt idx="0">
                        <c:v>Walk</c:v>
                      </c:pt>
                    </c:strCache>
                  </c:strRef>
                </c:tx>
                <c:spPr>
                  <a:solidFill>
                    <a:schemeClr val="accent1"/>
                  </a:solidFill>
                  <a:ln>
                    <a:noFill/>
                  </a:ln>
                  <a:effectLst/>
                </c:spPr>
                <c:invertIfNegative val="0"/>
                <c:cat>
                  <c:strRef>
                    <c:extLst>
                      <c:ex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c:ext uri="{02D57815-91ED-43cb-92C2-25804820EDAC}">
                        <c15:formulaRef>
                          <c15:sqref>'Travel Summary'!$B$6:$B$12</c15:sqref>
                        </c15:formulaRef>
                      </c:ext>
                    </c:extLst>
                    <c:numCache>
                      <c:formatCode>#,##0</c:formatCode>
                      <c:ptCount val="7"/>
                      <c:pt idx="0">
                        <c:v>181.78604788483881</c:v>
                      </c:pt>
                      <c:pt idx="1">
                        <c:v>166.87046998605339</c:v>
                      </c:pt>
                      <c:pt idx="2">
                        <c:v>226.59523089126901</c:v>
                      </c:pt>
                      <c:pt idx="3">
                        <c:v>184.9437681431009</c:v>
                      </c:pt>
                      <c:pt idx="4">
                        <c:v>167.80439325408835</c:v>
                      </c:pt>
                      <c:pt idx="5">
                        <c:v>142.58605744227424</c:v>
                      </c:pt>
                      <c:pt idx="6">
                        <c:v>161.83626524010026</c:v>
                      </c:pt>
                    </c:numCache>
                  </c:numRef>
                </c:val>
                <c:extLst>
                  <c:ext xmlns:c16="http://schemas.microsoft.com/office/drawing/2014/chart" uri="{C3380CC4-5D6E-409C-BE32-E72D297353CC}">
                    <c16:uniqueId val="{00000001-2F2C-4654-94A3-850CA3D5196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'Travel Summary'!$C$5</c15:sqref>
                        </c15:formulaRef>
                      </c:ext>
                    </c:extLst>
                    <c:strCache>
                      <c:ptCount val="1"/>
                      <c:pt idx="0">
                        <c:v>Bike</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Summary'!$C$6:$C$12</c15:sqref>
                        </c15:formulaRef>
                      </c:ext>
                    </c:extLst>
                    <c:numCache>
                      <c:formatCode>#,##0</c:formatCode>
                      <c:ptCount val="7"/>
                      <c:pt idx="0">
                        <c:v>70.375203004773056</c:v>
                      </c:pt>
                      <c:pt idx="1">
                        <c:v>73.78445577755906</c:v>
                      </c:pt>
                      <c:pt idx="2">
                        <c:v>230.31242340252908</c:v>
                      </c:pt>
                      <c:pt idx="3">
                        <c:v>146.93486367198699</c:v>
                      </c:pt>
                      <c:pt idx="4">
                        <c:v>110.30810424359603</c:v>
                      </c:pt>
                      <c:pt idx="5">
                        <c:v>101.61569401981936</c:v>
                      </c:pt>
                      <c:pt idx="6">
                        <c:v>62.652067896699471</c:v>
                      </c:pt>
                    </c:numCache>
                  </c:numRef>
                </c:val>
                <c:extLst xmlns:c15="http://schemas.microsoft.com/office/drawing/2012/chart">
                  <c:ext xmlns:c16="http://schemas.microsoft.com/office/drawing/2014/chart" uri="{C3380CC4-5D6E-409C-BE32-E72D297353CC}">
                    <c16:uniqueId val="{00000002-2F2C-4654-94A3-850CA3D5196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'Travel Summary'!$D$5</c15:sqref>
                        </c15:formulaRef>
                      </c:ext>
                    </c:extLst>
                    <c:strCache>
                      <c:ptCount val="1"/>
                      <c:pt idx="0">
                        <c:v>Car-Driver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Summary'!$D$6:$D$12</c15:sqref>
                        </c15:formulaRef>
                      </c:ext>
                    </c:extLst>
                    <c:numCache>
                      <c:formatCode>#,##0</c:formatCode>
                      <c:ptCount val="7"/>
                      <c:pt idx="0">
                        <c:v>6838.460924662284</c:v>
                      </c:pt>
                      <c:pt idx="1">
                        <c:v>7020.1048250299918</c:v>
                      </c:pt>
                      <c:pt idx="2">
                        <c:v>5764.0238912162376</c:v>
                      </c:pt>
                      <c:pt idx="3">
                        <c:v>6915.717583603513</c:v>
                      </c:pt>
                      <c:pt idx="4">
                        <c:v>7242.7121986717384</c:v>
                      </c:pt>
                      <c:pt idx="5">
                        <c:v>6158.5513198263079</c:v>
                      </c:pt>
                      <c:pt idx="6">
                        <c:v>6650.3765298123171</c:v>
                      </c:pt>
                    </c:numCache>
                  </c:numRef>
                </c:val>
                <c:extLst xmlns:c15="http://schemas.microsoft.com/office/drawing/2012/chart">
                  <c:ext xmlns:c16="http://schemas.microsoft.com/office/drawing/2014/chart" uri="{C3380CC4-5D6E-409C-BE32-E72D297353CC}">
                    <c16:uniqueId val="{00000003-2F2C-4654-94A3-850CA3D5196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'Travel Summary'!$E$5</c15:sqref>
                        </c15:formulaRef>
                      </c:ext>
                    </c:extLst>
                    <c:strCache>
                      <c:ptCount val="1"/>
                      <c:pt idx="0">
                        <c:v>Passenger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Summary'!$E$6:$E$12</c15:sqref>
                        </c15:formulaRef>
                      </c:ext>
                    </c:extLst>
                    <c:numCache>
                      <c:formatCode>#,##0</c:formatCode>
                      <c:ptCount val="7"/>
                      <c:pt idx="0">
                        <c:v>3850.9374836275215</c:v>
                      </c:pt>
                      <c:pt idx="1">
                        <c:v>3436.6328531423574</c:v>
                      </c:pt>
                      <c:pt idx="2">
                        <c:v>3321.5791006670761</c:v>
                      </c:pt>
                      <c:pt idx="3">
                        <c:v>3334.8429543260045</c:v>
                      </c:pt>
                      <c:pt idx="4">
                        <c:v>3650.5990666420994</c:v>
                      </c:pt>
                      <c:pt idx="5">
                        <c:v>3139.0288594158219</c:v>
                      </c:pt>
                      <c:pt idx="6">
                        <c:v>3745.0216563393938</c:v>
                      </c:pt>
                    </c:numCache>
                  </c:numRef>
                </c:val>
                <c:extLst xmlns:c15="http://schemas.microsoft.com/office/drawing/2012/chart">
                  <c:ext xmlns:c16="http://schemas.microsoft.com/office/drawing/2014/chart" uri="{C3380CC4-5D6E-409C-BE32-E72D297353CC}">
                    <c16:uniqueId val="{00000004-2F2C-4654-94A3-850CA3D5196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'Travel Summary'!$F$5</c15:sqref>
                        </c15:formulaRef>
                      </c:ext>
                    </c:extLst>
                    <c:strCache>
                      <c:ptCount val="1"/>
                      <c:pt idx="0">
                        <c:v>Bus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Summary'!$F$6:$F$12</c15:sqref>
                        </c15:formulaRef>
                      </c:ext>
                    </c:extLst>
                    <c:numCache>
                      <c:formatCode>#,##0</c:formatCode>
                      <c:ptCount val="7"/>
                      <c:pt idx="0">
                        <c:v>250.12128020181919</c:v>
                      </c:pt>
                      <c:pt idx="1">
                        <c:v>309.1866730320275</c:v>
                      </c:pt>
                      <c:pt idx="2">
                        <c:v>726.11209197603728</c:v>
                      </c:pt>
                      <c:pt idx="3">
                        <c:v>262.28898640575648</c:v>
                      </c:pt>
                      <c:pt idx="4">
                        <c:v>256.85433344404402</c:v>
                      </c:pt>
                      <c:pt idx="5">
                        <c:v>205.33209979820197</c:v>
                      </c:pt>
                      <c:pt idx="6">
                        <c:v>478.10770100266984</c:v>
                      </c:pt>
                    </c:numCache>
                  </c:numRef>
                </c:val>
                <c:extLst xmlns:c15="http://schemas.microsoft.com/office/drawing/2012/chart">
                  <c:ext xmlns:c16="http://schemas.microsoft.com/office/drawing/2014/chart" uri="{C3380CC4-5D6E-409C-BE32-E72D297353CC}">
                    <c16:uniqueId val="{00000005-2F2C-4654-94A3-850CA3D5196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'Travel Summary'!$H$5</c15:sqref>
                        </c15:formulaRef>
                      </c:ext>
                    </c:extLst>
                    <c:strCache>
                      <c:ptCount val="1"/>
                      <c:pt idx="0">
                        <c:v>Motorcycle</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Summary'!$H$6:$H$12</c15:sqref>
                        </c15:formulaRef>
                      </c:ext>
                    </c:extLst>
                    <c:numCache>
                      <c:formatCode>#,##0</c:formatCode>
                      <c:ptCount val="7"/>
                      <c:pt idx="0">
                        <c:v>45.688020907533357</c:v>
                      </c:pt>
                      <c:pt idx="1">
                        <c:v>45.688020907533357</c:v>
                      </c:pt>
                      <c:pt idx="2">
                        <c:v>45.688020907533357</c:v>
                      </c:pt>
                      <c:pt idx="3">
                        <c:v>45.688020907533357</c:v>
                      </c:pt>
                      <c:pt idx="4">
                        <c:v>45.688020907533357</c:v>
                      </c:pt>
                      <c:pt idx="5">
                        <c:v>45.688020907533357</c:v>
                      </c:pt>
                      <c:pt idx="6">
                        <c:v>45.688020907533357</c:v>
                      </c:pt>
                    </c:numCache>
                  </c:numRef>
                </c:val>
                <c:extLst xmlns:c15="http://schemas.microsoft.com/office/drawing/2012/chart">
                  <c:ext xmlns:c16="http://schemas.microsoft.com/office/drawing/2014/chart" uri="{C3380CC4-5D6E-409C-BE32-E72D297353CC}">
                    <c16:uniqueId val="{00000006-2F2C-4654-94A3-850CA3D5196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'Travel Summary'!$I$5</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'Travel Summary'!$A$6:$A$12</c15:sqref>
                        </c15:formulaRef>
                      </c:ext>
                    </c:extLst>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extLst xmlns:c15="http://schemas.microsoft.com/office/drawing/2012/chart">
                      <c:ext xmlns:c15="http://schemas.microsoft.com/office/drawing/2012/chart" uri="{02D57815-91ED-43cb-92C2-25804820EDAC}">
                        <c15:formulaRef>
                          <c15:sqref>'Travel Summary'!$I$6:$I$12</c15:sqref>
                        </c15:formulaRef>
                      </c:ext>
                    </c:extLst>
                    <c:numCache>
                      <c:formatCode>#,##0</c:formatCode>
                      <c:ptCount val="7"/>
                    </c:numCache>
                  </c:numRef>
                </c:val>
                <c:extLst xmlns:c15="http://schemas.microsoft.com/office/drawing/2012/chart">
                  <c:ext xmlns:c16="http://schemas.microsoft.com/office/drawing/2014/chart" uri="{C3380CC4-5D6E-409C-BE32-E72D297353CC}">
                    <c16:uniqueId val="{00000007-2F2C-4654-94A3-850CA3D51961}"/>
                  </c:ext>
                </c:extLst>
              </c15:ser>
            </c15:filteredBarSeries>
          </c:ext>
        </c:extLst>
      </c:barChart>
      <c:catAx>
        <c:axId val="69019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20672"/>
        <c:crosses val="autoZero"/>
        <c:auto val="1"/>
        <c:lblAlgn val="ctr"/>
        <c:lblOffset val="100"/>
        <c:noMultiLvlLbl val="0"/>
      </c:catAx>
      <c:valAx>
        <c:axId val="690206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1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'Travel Summary'!$P$2</c:f>
          <c:strCache>
            <c:ptCount val="1"/>
            <c:pt idx="0">
              <c:v>Scenario Distances by Mode in km per Person per Year</c:v>
            </c:pt>
          </c:strCache>
        </c:strRef>
      </c:tx>
      <c:layout>
        <c:manualLayout>
          <c:xMode val="edge"/>
          <c:yMode val="edge"/>
          <c:x val="0.13574931573920343"/>
          <c:y val="2.314814814814814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36242144044026"/>
          <c:y val="0.12534740449110637"/>
          <c:w val="0.77378538691838294"/>
          <c:h val="0.47707677165354673"/>
        </c:manualLayout>
      </c:layout>
      <c:barChart>
        <c:barDir val="col"/>
        <c:grouping val="clustered"/>
        <c:varyColors val="0"/>
        <c:ser>
          <c:idx val="0"/>
          <c:order val="0"/>
          <c:tx>
            <c:strRef>
              <c:f>'Travel Summary'!$Q$5</c:f>
              <c:strCache>
                <c:ptCount val="1"/>
                <c:pt idx="0">
                  <c:v>Active Transport</c:v>
                </c:pt>
              </c:strCache>
            </c:strRef>
          </c:tx>
          <c:spPr>
            <a:solidFill>
              <a:schemeClr val="accent1"/>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Summary'!$Q$6:$Q$12</c:f>
              <c:numCache>
                <c:formatCode>0.00</c:formatCode>
                <c:ptCount val="7"/>
                <c:pt idx="0">
                  <c:v>252.16125088961186</c:v>
                </c:pt>
                <c:pt idx="1">
                  <c:v>240.65492576361245</c:v>
                </c:pt>
                <c:pt idx="2">
                  <c:v>456.90765429379809</c:v>
                </c:pt>
                <c:pt idx="3">
                  <c:v>331.87863181508789</c:v>
                </c:pt>
                <c:pt idx="4">
                  <c:v>278.11249749768439</c:v>
                </c:pt>
                <c:pt idx="5">
                  <c:v>244.2017514620936</c:v>
                </c:pt>
                <c:pt idx="6">
                  <c:v>224.48833313679972</c:v>
                </c:pt>
              </c:numCache>
            </c:numRef>
          </c:val>
          <c:extLst>
            <c:ext xmlns:c16="http://schemas.microsoft.com/office/drawing/2014/chart" uri="{C3380CC4-5D6E-409C-BE32-E72D297353CC}">
              <c16:uniqueId val="{00000000-02E4-4C57-896D-5241CC64B34A}"/>
            </c:ext>
          </c:extLst>
        </c:ser>
        <c:ser>
          <c:idx val="1"/>
          <c:order val="1"/>
          <c:tx>
            <c:strRef>
              <c:f>'Travel Summary'!$R$5</c:f>
              <c:strCache>
                <c:ptCount val="1"/>
                <c:pt idx="0">
                  <c:v>Transit</c:v>
                </c:pt>
              </c:strCache>
            </c:strRef>
          </c:tx>
          <c:spPr>
            <a:solidFill>
              <a:schemeClr val="accent2"/>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Summary'!$R$6:$R$12</c:f>
              <c:numCache>
                <c:formatCode>0.00</c:formatCode>
                <c:ptCount val="7"/>
                <c:pt idx="0">
                  <c:v>352.90390222991715</c:v>
                </c:pt>
                <c:pt idx="1">
                  <c:v>650.07748839293924</c:v>
                </c:pt>
                <c:pt idx="2">
                  <c:v>1119.8769851201862</c:v>
                </c:pt>
                <c:pt idx="3">
                  <c:v>548.40572661546162</c:v>
                </c:pt>
                <c:pt idx="4">
                  <c:v>546.18140527369542</c:v>
                </c:pt>
                <c:pt idx="5">
                  <c:v>424.88037753215076</c:v>
                </c:pt>
                <c:pt idx="6">
                  <c:v>674.57704212082263</c:v>
                </c:pt>
              </c:numCache>
            </c:numRef>
          </c:val>
          <c:extLst>
            <c:ext xmlns:c16="http://schemas.microsoft.com/office/drawing/2014/chart" uri="{C3380CC4-5D6E-409C-BE32-E72D297353CC}">
              <c16:uniqueId val="{00000001-02E4-4C57-896D-5241CC64B34A}"/>
            </c:ext>
          </c:extLst>
        </c:ser>
        <c:ser>
          <c:idx val="2"/>
          <c:order val="2"/>
          <c:tx>
            <c:strRef>
              <c:f>'Travel Summary'!$S$5</c:f>
              <c:strCache>
                <c:ptCount val="1"/>
                <c:pt idx="0">
                  <c:v>Car</c:v>
                </c:pt>
              </c:strCache>
            </c:strRef>
          </c:tx>
          <c:spPr>
            <a:solidFill>
              <a:schemeClr val="accent3"/>
            </a:solidFill>
            <a:ln>
              <a:noFill/>
            </a:ln>
            <a:effectLst/>
          </c:spPr>
          <c:invertIfNegative val="0"/>
          <c:cat>
            <c:strRef>
              <c:f>'Travel Summary'!$P$6:$P$12</c:f>
              <c:strCache>
                <c:ptCount val="7"/>
                <c:pt idx="0">
                  <c:v>Baseline 2013 (0)</c:v>
                </c:pt>
                <c:pt idx="1">
                  <c:v>Base case 2043 (1)</c:v>
                </c:pt>
                <c:pt idx="2">
                  <c:v>Scenario A: staying close to the action (2)</c:v>
                </c:pt>
                <c:pt idx="3">
                  <c:v>Scenario B: metro-connected (3)</c:v>
                </c:pt>
                <c:pt idx="4">
                  <c:v>Scenario C: the golden triangle (4)</c:v>
                </c:pt>
                <c:pt idx="5">
                  <c:v>Scenario D: @home in town and country (5)</c:v>
                </c:pt>
                <c:pt idx="6">
                  <c:v>What if (6)</c:v>
                </c:pt>
              </c:strCache>
            </c:strRef>
          </c:cat>
          <c:val>
            <c:numRef>
              <c:f>'Travel Summary'!$S$6:$S$12</c:f>
              <c:numCache>
                <c:formatCode>0.0</c:formatCode>
                <c:ptCount val="7"/>
                <c:pt idx="0">
                  <c:v>10689.398408289806</c:v>
                </c:pt>
                <c:pt idx="1">
                  <c:v>10456.737678172349</c:v>
                </c:pt>
                <c:pt idx="2">
                  <c:v>9085.6029918833137</c:v>
                </c:pt>
                <c:pt idx="3">
                  <c:v>10250.560537929518</c:v>
                </c:pt>
                <c:pt idx="4">
                  <c:v>10893.311265313838</c:v>
                </c:pt>
                <c:pt idx="5">
                  <c:v>9297.5801792421298</c:v>
                </c:pt>
                <c:pt idx="6">
                  <c:v>10395.398186151711</c:v>
                </c:pt>
              </c:numCache>
            </c:numRef>
          </c:val>
          <c:extLst>
            <c:ext xmlns:c16="http://schemas.microsoft.com/office/drawing/2014/chart" uri="{C3380CC4-5D6E-409C-BE32-E72D297353CC}">
              <c16:uniqueId val="{00000002-02E4-4C57-896D-5241CC64B34A}"/>
            </c:ext>
          </c:extLst>
        </c:ser>
        <c:dLbls>
          <c:showLegendKey val="0"/>
          <c:showVal val="0"/>
          <c:showCatName val="0"/>
          <c:showSerName val="0"/>
          <c:showPercent val="0"/>
          <c:showBubbleSize val="0"/>
        </c:dLbls>
        <c:gapWidth val="219"/>
        <c:overlap val="-27"/>
        <c:axId val="69059712"/>
        <c:axId val="69061248"/>
      </c:barChart>
      <c:catAx>
        <c:axId val="6905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1248"/>
        <c:crosses val="autoZero"/>
        <c:auto val="1"/>
        <c:lblAlgn val="ctr"/>
        <c:lblOffset val="100"/>
        <c:noMultiLvlLbl val="0"/>
      </c:catAx>
      <c:valAx>
        <c:axId val="69061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5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19</xdr:col>
      <xdr:colOff>433811</xdr:colOff>
      <xdr:row>18</xdr:row>
      <xdr:rowOff>45110</xdr:rowOff>
    </xdr:from>
    <xdr:to>
      <xdr:col>36</xdr:col>
      <xdr:colOff>18862</xdr:colOff>
      <xdr:row>42</xdr:row>
      <xdr:rowOff>141462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64559</xdr:colOff>
      <xdr:row>16</xdr:row>
      <xdr:rowOff>47624</xdr:rowOff>
    </xdr:from>
    <xdr:to>
      <xdr:col>2</xdr:col>
      <xdr:colOff>480483</xdr:colOff>
      <xdr:row>33</xdr:row>
      <xdr:rowOff>42861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497417</xdr:colOff>
      <xdr:row>16</xdr:row>
      <xdr:rowOff>52386</xdr:rowOff>
    </xdr:from>
    <xdr:to>
      <xdr:col>10</xdr:col>
      <xdr:colOff>518583</xdr:colOff>
      <xdr:row>33</xdr:row>
      <xdr:rowOff>42861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169332</xdr:colOff>
      <xdr:row>33</xdr:row>
      <xdr:rowOff>146050</xdr:rowOff>
    </xdr:from>
    <xdr:to>
      <xdr:col>5</xdr:col>
      <xdr:colOff>368299</xdr:colOff>
      <xdr:row>47</xdr:row>
      <xdr:rowOff>127000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73024</xdr:colOff>
      <xdr:row>33</xdr:row>
      <xdr:rowOff>120651</xdr:rowOff>
    </xdr:from>
    <xdr:to>
      <xdr:col>1</xdr:col>
      <xdr:colOff>70907</xdr:colOff>
      <xdr:row>47</xdr:row>
      <xdr:rowOff>120651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74083</xdr:colOff>
      <xdr:row>48</xdr:row>
      <xdr:rowOff>64558</xdr:rowOff>
    </xdr:from>
    <xdr:to>
      <xdr:col>5</xdr:col>
      <xdr:colOff>442383</xdr:colOff>
      <xdr:row>63</xdr:row>
      <xdr:rowOff>34051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296334</xdr:colOff>
      <xdr:row>63</xdr:row>
      <xdr:rowOff>145314</xdr:rowOff>
    </xdr:from>
    <xdr:to>
      <xdr:col>5</xdr:col>
      <xdr:colOff>495301</xdr:colOff>
      <xdr:row>77</xdr:row>
      <xdr:rowOff>48683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98516</xdr:colOff>
      <xdr:row>63</xdr:row>
      <xdr:rowOff>89959</xdr:rowOff>
    </xdr:from>
    <xdr:to>
      <xdr:col>1</xdr:col>
      <xdr:colOff>144991</xdr:colOff>
      <xdr:row>76</xdr:row>
      <xdr:rowOff>153459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26459</xdr:colOff>
      <xdr:row>16</xdr:row>
      <xdr:rowOff>95777</xdr:rowOff>
    </xdr:from>
    <xdr:to>
      <xdr:col>16</xdr:col>
      <xdr:colOff>525991</xdr:colOff>
      <xdr:row>33</xdr:row>
      <xdr:rowOff>86252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61844</xdr:colOff>
      <xdr:row>36</xdr:row>
      <xdr:rowOff>64741</xdr:rowOff>
    </xdr:from>
    <xdr:to>
      <xdr:col>5</xdr:col>
      <xdr:colOff>517387</xdr:colOff>
      <xdr:row>37</xdr:row>
      <xdr:rowOff>106154</xdr:rowOff>
    </xdr:to>
    <xdr:sp macro="" textlink="$C$5">
      <xdr:nvSpPr>
        <xdr:cNvPr id="4" name="TextBox 3"/>
        <xdr:cNvSpPr txBox="1"/>
      </xdr:nvSpPr>
      <xdr:spPr>
        <a:xfrm>
          <a:off x="3986144" y="5408266"/>
          <a:ext cx="455543" cy="20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70E2D0-BE3D-40BF-8B57-815213143A51}" type="TxLink">
            <a:rPr lang="en-US" sz="1000" b="0" i="0" u="none" strike="noStrike">
              <a:solidFill>
                <a:srgbClr val="000000"/>
              </a:solidFill>
              <a:latin typeface="Arial"/>
              <a:cs typeface="Arial"/>
            </a:rPr>
            <a:pPr/>
            <a:t>Bike</a:t>
          </a:fld>
          <a:endParaRPr lang="en-US" sz="1100"/>
        </a:p>
      </xdr:txBody>
    </xdr:sp>
    <xdr:clientData/>
  </xdr:twoCellAnchor>
  <xdr:twoCellAnchor>
    <xdr:from>
      <xdr:col>15</xdr:col>
      <xdr:colOff>59267</xdr:colOff>
      <xdr:row>34</xdr:row>
      <xdr:rowOff>35983</xdr:rowOff>
    </xdr:from>
    <xdr:to>
      <xdr:col>16</xdr:col>
      <xdr:colOff>558799</xdr:colOff>
      <xdr:row>51</xdr:row>
      <xdr:rowOff>26458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0.7883</cdr:x>
      <cdr:y>0.1194</cdr:y>
    </cdr:from>
    <cdr:to>
      <cdr:x>0.8755</cdr:x>
      <cdr:y>0.19318</cdr:y>
    </cdr:to>
    <cdr:sp macro="" textlink="">
      <cdr:nvSpPr>
        <cdr:cNvPr id="2" name="TextBox 1"/>
        <cdr:cNvSpPr txBox="1"/>
      </cdr:nvSpPr>
      <cdr:spPr>
        <a:xfrm xmlns:a="http://schemas.openxmlformats.org/drawingml/2006/main">
          <a:off x="2870338" y="335101"/>
          <a:ext cx="317500" cy="2070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0.41965</cdr:x>
      <cdr:y>0.21928</cdr:y>
    </cdr:from>
    <cdr:to>
      <cdr:x>0.6072</cdr:x>
      <cdr:y>0.31122</cdr:y>
    </cdr:to>
    <cdr:sp macro="" textlink="'Travel Summary'!$B$5">
      <cdr:nvSpPr>
        <cdr:cNvPr id="2" name="TextBox 1"/>
        <cdr:cNvSpPr txBox="1"/>
      </cdr:nvSpPr>
      <cdr:spPr>
        <a:xfrm xmlns:a="http://schemas.openxmlformats.org/drawingml/2006/main">
          <a:off x="1147184" y="508062"/>
          <a:ext cx="512701" cy="213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CD215E-1E41-4593-B78C-978644C0B5C4}" type="TxLink">
            <a:rPr lang="en-US" sz="1000" b="0" i="0" u="none" strike="noStrike">
              <a:solidFill>
                <a:srgbClr val="000000"/>
              </a:solidFill>
              <a:latin typeface="Arial"/>
              <a:cs typeface="Arial"/>
            </a:rPr>
            <a:pPr/>
            <a:t>Walk</a:t>
          </a:fld>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0.4662</cdr:x>
      <cdr:y>0.08256</cdr:y>
    </cdr:from>
    <cdr:to>
      <cdr:x>0.58388</cdr:x>
      <cdr:y>0.19419</cdr:y>
    </cdr:to>
    <cdr:sp macro="" textlink="">
      <cdr:nvSpPr>
        <cdr:cNvPr id="2" name="TextBox 1"/>
        <cdr:cNvSpPr txBox="1"/>
      </cdr:nvSpPr>
      <cdr:spPr>
        <a:xfrm xmlns:a="http://schemas.openxmlformats.org/drawingml/2006/main">
          <a:off x="2628819" y="197999"/>
          <a:ext cx="663574" cy="26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Car</a:t>
          </a:r>
          <a:endParaRPr lang="en-US" sz="1200"/>
        </a:p>
      </cdr:txBody>
    </cdr:sp>
  </cdr:relSizeAnchor>
</c:userShapes>
</file>

<file path=xl/drawings/drawing6.xml><?xml version="1.0" encoding="utf-8"?>
<c:userShapes xmlns:c="http://schemas.openxmlformats.org/drawingml/2006/chart">
  <cdr:relSizeAnchor xmlns:cdr="http://schemas.openxmlformats.org/drawingml/2006/chartDrawing">
    <cdr:from>
      <cdr:x>0.66423</cdr:x>
      <cdr:y>0.20357</cdr:y>
    </cdr:from>
    <cdr:to>
      <cdr:x>1</cdr:x>
      <cdr:y>0.63856</cdr:y>
    </cdr:to>
    <cdr:sp macro="" textlink="">
      <cdr:nvSpPr>
        <cdr:cNvPr id="2" name="TextBox 1"/>
        <cdr:cNvSpPr txBox="1"/>
      </cdr:nvSpPr>
      <cdr:spPr>
        <a:xfrm xmlns:a="http://schemas.openxmlformats.org/drawingml/2006/main">
          <a:off x="1974022" y="42793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0.47556</cdr:x>
      <cdr:y>0.24806</cdr:y>
    </cdr:from>
    <cdr:to>
      <cdr:x>0.6446</cdr:x>
      <cdr:y>0.37965</cdr:y>
    </cdr:to>
    <cdr:sp macro="" textlink="'Travel Summary'!$F$5">
      <cdr:nvSpPr>
        <cdr:cNvPr id="3" name="TextBox 2"/>
        <cdr:cNvSpPr txBox="1"/>
      </cdr:nvSpPr>
      <cdr:spPr>
        <a:xfrm xmlns:a="http://schemas.openxmlformats.org/drawingml/2006/main">
          <a:off x="1300036" y="509444"/>
          <a:ext cx="462089" cy="270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A76354-D282-4184-853D-FE8A98680462}" type="TxLink">
            <a:rPr lang="en-US" sz="1100" b="0" i="0" u="none" strike="noStrike">
              <a:solidFill>
                <a:srgbClr val="000000"/>
              </a:solidFill>
              <a:latin typeface="Arial"/>
              <a:cs typeface="Arial"/>
            </a:rPr>
            <a:pPr/>
            <a:t>Bus</a:t>
          </a:fld>
          <a:endParaRPr lang="en-US" sz="1400"/>
        </a:p>
      </cdr:txBody>
    </cdr:sp>
  </cdr:relSizeAnchor>
</c:userShapes>
</file>

<file path=xl/drawings/drawing7.xml><?xml version="1.0" encoding="utf-8"?>
<c:userShapes xmlns:c="http://schemas.openxmlformats.org/drawingml/2006/chart">
  <cdr:relSizeAnchor xmlns:cdr="http://schemas.openxmlformats.org/drawingml/2006/chartDrawing">
    <cdr:from>
      <cdr:x>0.42994</cdr:x>
      <cdr:y>0.22527</cdr:y>
    </cdr:from>
    <cdr:to>
      <cdr:x>0.57892</cdr:x>
      <cdr:y>0.34366</cdr:y>
    </cdr:to>
    <cdr:sp macro="" textlink="">
      <cdr:nvSpPr>
        <cdr:cNvPr id="2" name="TextBox 4"/>
        <cdr:cNvSpPr txBox="1"/>
      </cdr:nvSpPr>
      <cdr:spPr>
        <a:xfrm xmlns:a="http://schemas.openxmlformats.org/drawingml/2006/main">
          <a:off x="1196220" y="463472"/>
          <a:ext cx="414502" cy="24357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4213062C-E06E-4423-AB74-7B6F70EBF98C}" type="TxLink">
            <a:rPr lang="en-US" sz="1000" b="0" i="0" u="none" strike="noStrike">
              <a:solidFill>
                <a:srgbClr val="000000"/>
              </a:solidFill>
              <a:latin typeface="Arial"/>
              <a:cs typeface="Arial"/>
            </a:rPr>
            <a:pPr/>
            <a:t>Rail</a:t>
          </a:fld>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14287</xdr:colOff>
      <xdr:row>95</xdr:row>
      <xdr:rowOff>57150</xdr:rowOff>
    </xdr:from>
    <xdr:to>
      <xdr:col>25</xdr:col>
      <xdr:colOff>138112</xdr:colOff>
      <xdr:row>109</xdr:row>
      <xdr:rowOff>23812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9525</xdr:colOff>
      <xdr:row>109</xdr:row>
      <xdr:rowOff>0</xdr:rowOff>
    </xdr:from>
    <xdr:to>
      <xdr:col>25</xdr:col>
      <xdr:colOff>133350</xdr:colOff>
      <xdr:row>123</xdr:row>
      <xdr:rowOff>166687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ft.gov.uk/TSGB00/8-01-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ransport%20Outlook/Version%202%20Models/Base/Population%20and%20GDP%20Updated%20Version%202%20Bas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ransport%20Outlook/Version%202%20Models/Metro/Population%20and%20GDP%20Updated%20Version%202%20Metr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ransport%20Outlook/Version%202%20Models/Golden/Population%20and%20GDP%20Updated%20Version%202%20Golde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ransport%20Outlook/Version%202%20Models/@home/Population%20and%20GDP%20Updated%20Version%202%20@ho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ico\Library\Application%20Support\Microsoft\Office\Office%202011%20AutoRecovery\1-1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co\Downloads\TSGB1998\SECTION1\1-13-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port%20Outlook/Health%20Outcomes%20Model/SNZ%20popu%20projection%20by%20age%20and%20sex%20(subnational)_201705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ort%20Outlook/Version%202%20Models/Base/trip_summary_region_postprocess%20Version%202%20base%20201812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nsport%20Outlook/Version%202%20Models/Close/trip_summary_region_postprocess%20Version%202%20close%20201907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ransport%20Outlook/Version%202%20Models/Metro/trip_summary_region_postprocess%20Version%202%20Metro%20201812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ransport%20Outlook/Version%202%20Models/Golden/trip_summary_region_postprocess%20Version%202%20Golden%20201812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ransport%20Outlook/Version%202%20Models/@home/trip_summary_region_postprocess%20Version%202%20@home%202018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5"/>
      <sheetName val="Button"/>
      <sheetName val="1997"/>
      <sheetName val="1998"/>
      <sheetName val="1999"/>
      <sheetName val="2000"/>
      <sheetName val="2001"/>
      <sheetName val="2002"/>
      <sheetName val="2003"/>
      <sheetName val="2004"/>
      <sheetName val="2005"/>
      <sheetName val="2006"/>
      <sheetName val="2007"/>
      <sheetName val="2008"/>
      <sheetName val="2009"/>
      <sheetName val="2010"/>
      <sheetName val="TIS-INDEX"/>
      <sheetName val="Admin"/>
      <sheetName val="Replacer"/>
      <sheetName val="8-01-98"/>
      <sheetName val="8-01-98.XLS"/>
    </sheetNames>
    <definedNames>
      <definedName name="Dialog"/>
      <definedName name="dialog2"/>
    </definedNames>
    <sheetDataSet>
      <sheetData sheetId="0"/>
      <sheetData sheetId="1"/>
      <sheetData sheetId="2">
        <row r="10">
          <cell r="M10" t="str">
            <v>At purchasing power parity</v>
          </cell>
        </row>
        <row r="19">
          <cell r="M19"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Population"/>
      <sheetName val="GDP"/>
      <sheetName val="Regional GDP"/>
      <sheetName val="Tourism"/>
      <sheetName val="Other Assumptions"/>
    </sheetNames>
    <sheetDataSet>
      <sheetData sheetId="0"/>
      <sheetData sheetId="1">
        <row r="39">
          <cell r="D39">
            <v>4441600</v>
          </cell>
          <cell r="N39">
            <v>5922500</v>
          </cell>
        </row>
      </sheetData>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Population"/>
      <sheetName val="GDP"/>
      <sheetName val="Regional GDP"/>
      <sheetName val="Tourism"/>
      <sheetName val="Other Assumptions"/>
    </sheetNames>
    <sheetDataSet>
      <sheetData sheetId="0"/>
      <sheetData sheetId="1">
        <row r="39">
          <cell r="N39">
            <v>5922499.9999999991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Population"/>
      <sheetName val="GDP"/>
      <sheetName val="Regional GDP"/>
      <sheetName val="Tourism"/>
      <sheetName val="Other Assumptions"/>
    </sheetNames>
    <sheetDataSet>
      <sheetData sheetId="0"/>
      <sheetData sheetId="1">
        <row r="39">
          <cell r="N39">
            <v>6729400</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Population"/>
      <sheetName val="GDP"/>
      <sheetName val="Regional GDP"/>
      <sheetName val="Tourism"/>
      <sheetName val="Other Assumptions"/>
    </sheetNames>
    <sheetDataSet>
      <sheetData sheetId="0"/>
      <sheetData sheetId="1">
        <row r="39">
          <cell r="N39">
            <v>6729400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s>
    <sheetDataSet>
      <sheetData sheetId="0" refreshError="1">
        <row r="2">
          <cell r="J2">
            <v>1986</v>
          </cell>
          <cell r="L2" t="str">
            <v>1996/97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S-INDEX"/>
    </sheetNames>
    <sheetDataSet>
      <sheetData sheetId="0" refreshError="1">
        <row r="9">
          <cell r="E9">
            <v>1983</v>
          </cell>
          <cell r="F9">
            <v>1984</v>
          </cell>
          <cell r="G9">
            <v>1985</v>
          </cell>
          <cell r="H9">
            <v>1986</v>
          </cell>
          <cell r="I9">
            <v>1987</v>
          </cell>
          <cell r="J9">
            <v>1988</v>
          </cell>
          <cell r="K9">
            <v>1989</v>
          </cell>
          <cell r="L9">
            <v>1990</v>
          </cell>
          <cell r="M9">
            <v>1991</v>
          </cell>
          <cell r="N9">
            <v>1992</v>
          </cell>
          <cell r="O9">
            <v>1993</v>
          </cell>
          <cell r="P9">
            <v>1994</v>
          </cell>
          <cell r="Q9">
            <v>1995</v>
          </cell>
          <cell r="R9">
            <v>1996</v>
          </cell>
        </row>
        <row r="13">
          <cell r="B13" t="str">
            <v>Road 1</v>
          </cell>
          <cell r="E13">
            <v>4.2</v>
          </cell>
          <cell r="F13">
            <v>4</v>
          </cell>
          <cell r="G13">
            <v>4.3</v>
          </cell>
          <cell r="H13">
            <v>3.7</v>
          </cell>
          <cell r="I13">
            <v>4.0999999999999996</v>
          </cell>
          <cell r="J13">
            <v>4.9000000000000004</v>
          </cell>
          <cell r="K13">
            <v>4.5</v>
          </cell>
          <cell r="L13">
            <v>4.9000000000000004</v>
          </cell>
          <cell r="M13">
            <v>4.9000000000000004</v>
          </cell>
          <cell r="N13">
            <v>4.5</v>
          </cell>
          <cell r="O13">
            <v>5</v>
          </cell>
          <cell r="P13">
            <v>5.0999999999999996</v>
          </cell>
          <cell r="Q13">
            <v>5.7</v>
          </cell>
        </row>
        <row r="14">
          <cell r="B14" t="str">
            <v xml:space="preserve">Rail </v>
          </cell>
          <cell r="E14">
            <v>2.2999999999999998</v>
          </cell>
          <cell r="F14">
            <v>2.2000000000000002</v>
          </cell>
          <cell r="G14">
            <v>2</v>
          </cell>
          <cell r="H14">
            <v>2.1</v>
          </cell>
          <cell r="I14">
            <v>2</v>
          </cell>
          <cell r="J14">
            <v>2.2000000000000002</v>
          </cell>
          <cell r="K14">
            <v>2.2000000000000002</v>
          </cell>
          <cell r="L14">
            <v>2.1</v>
          </cell>
          <cell r="M14">
            <v>2</v>
          </cell>
          <cell r="N14">
            <v>2</v>
          </cell>
          <cell r="O14">
            <v>1.91</v>
          </cell>
          <cell r="P14">
            <v>1.8220000000000001</v>
          </cell>
          <cell r="Q14">
            <v>1.7</v>
          </cell>
        </row>
        <row r="15">
          <cell r="B15" t="str">
            <v xml:space="preserve">Water </v>
          </cell>
          <cell r="E15">
            <v>51.4</v>
          </cell>
          <cell r="F15">
            <v>53.1</v>
          </cell>
          <cell r="G15">
            <v>50.9</v>
          </cell>
          <cell r="H15">
            <v>46</v>
          </cell>
          <cell r="I15">
            <v>43.9</v>
          </cell>
          <cell r="J15">
            <v>49.3</v>
          </cell>
          <cell r="K15">
            <v>47.9</v>
          </cell>
          <cell r="L15">
            <v>45.4</v>
          </cell>
          <cell r="M15">
            <v>46</v>
          </cell>
          <cell r="N15">
            <v>42.7</v>
          </cell>
          <cell r="O15">
            <v>41.7</v>
          </cell>
          <cell r="P15">
            <v>43</v>
          </cell>
          <cell r="Q15">
            <v>42.5</v>
          </cell>
        </row>
        <row r="16">
          <cell r="B16" t="str">
            <v>ow:  coastwise</v>
          </cell>
          <cell r="E16">
            <v>40.200000000000003</v>
          </cell>
          <cell r="F16">
            <v>41</v>
          </cell>
          <cell r="G16">
            <v>38.9</v>
          </cell>
          <cell r="H16">
            <v>33.9</v>
          </cell>
          <cell r="I16">
            <v>31.4</v>
          </cell>
          <cell r="J16">
            <v>34.200000000000003</v>
          </cell>
          <cell r="K16">
            <v>34.1</v>
          </cell>
          <cell r="L16">
            <v>32.1</v>
          </cell>
          <cell r="M16">
            <v>31.2</v>
          </cell>
          <cell r="N16">
            <v>29.4</v>
          </cell>
          <cell r="O16">
            <v>28.9</v>
          </cell>
          <cell r="P16">
            <v>28.9</v>
          </cell>
          <cell r="Q16">
            <v>31.4</v>
          </cell>
        </row>
        <row r="17">
          <cell r="B17" t="str">
            <v xml:space="preserve">Pipeline </v>
          </cell>
          <cell r="H17">
            <v>10.4</v>
          </cell>
          <cell r="I17">
            <v>10.5</v>
          </cell>
          <cell r="J17">
            <v>11.1</v>
          </cell>
          <cell r="K17">
            <v>9.8000000000000007</v>
          </cell>
          <cell r="L17">
            <v>11.1</v>
          </cell>
          <cell r="M17">
            <v>11.1</v>
          </cell>
          <cell r="N17">
            <v>11</v>
          </cell>
          <cell r="O17">
            <v>11.6</v>
          </cell>
          <cell r="P17">
            <v>12</v>
          </cell>
          <cell r="Q17">
            <v>12.2</v>
          </cell>
        </row>
        <row r="18">
          <cell r="B18" t="str">
            <v>Pipeline</v>
          </cell>
          <cell r="E18">
            <v>9.9</v>
          </cell>
          <cell r="F18">
            <v>10.4</v>
          </cell>
          <cell r="G18">
            <v>11.2</v>
          </cell>
          <cell r="H18">
            <v>10.4</v>
          </cell>
          <cell r="I18">
            <v>10.5</v>
          </cell>
          <cell r="J18">
            <v>11.1</v>
          </cell>
          <cell r="K18">
            <v>9.8000000000000007</v>
          </cell>
          <cell r="L18">
            <v>11</v>
          </cell>
          <cell r="M18">
            <v>11.1</v>
          </cell>
          <cell r="N18">
            <v>11</v>
          </cell>
          <cell r="O18">
            <v>11.6</v>
          </cell>
          <cell r="P18">
            <v>12</v>
          </cell>
          <cell r="Q18">
            <v>12.2</v>
          </cell>
        </row>
        <row r="19">
          <cell r="B19" t="str">
            <v>All modes</v>
          </cell>
          <cell r="E19">
            <v>67.8</v>
          </cell>
          <cell r="F19">
            <v>69.7</v>
          </cell>
          <cell r="G19">
            <v>68.400000000000006</v>
          </cell>
          <cell r="H19">
            <v>62.2</v>
          </cell>
          <cell r="I19">
            <v>60.5</v>
          </cell>
          <cell r="J19">
            <v>67.5</v>
          </cell>
          <cell r="K19">
            <v>64.400000000000006</v>
          </cell>
          <cell r="L19">
            <v>63.5</v>
          </cell>
          <cell r="M19">
            <v>64</v>
          </cell>
          <cell r="N19">
            <v>60.2</v>
          </cell>
          <cell r="O19">
            <v>60.21</v>
          </cell>
          <cell r="P19">
            <v>61.921999999999997</v>
          </cell>
          <cell r="Q19">
            <v>62.099999999999994</v>
          </cell>
        </row>
        <row r="22">
          <cell r="B22" t="str">
            <v>Road 1</v>
          </cell>
          <cell r="E22">
            <v>3.2</v>
          </cell>
          <cell r="F22">
            <v>3.3</v>
          </cell>
          <cell r="G22">
            <v>4.2</v>
          </cell>
          <cell r="H22">
            <v>3.7</v>
          </cell>
          <cell r="I22">
            <v>3.7</v>
          </cell>
          <cell r="J22">
            <v>3.9</v>
          </cell>
          <cell r="K22">
            <v>4</v>
          </cell>
          <cell r="L22">
            <v>4.2</v>
          </cell>
          <cell r="M22">
            <v>3.7</v>
          </cell>
          <cell r="N22">
            <v>3.5</v>
          </cell>
          <cell r="O22">
            <v>3.1</v>
          </cell>
          <cell r="P22">
            <v>2.9</v>
          </cell>
          <cell r="Q22">
            <v>2.7</v>
          </cell>
        </row>
        <row r="23">
          <cell r="B23" t="str">
            <v xml:space="preserve">Rail </v>
          </cell>
          <cell r="E23">
            <v>5.9</v>
          </cell>
          <cell r="F23">
            <v>1.6</v>
          </cell>
          <cell r="G23">
            <v>4.0999999999999996</v>
          </cell>
          <cell r="H23">
            <v>5.0999999999999996</v>
          </cell>
          <cell r="I23">
            <v>4.7</v>
          </cell>
          <cell r="J23">
            <v>4.5999999999999996</v>
          </cell>
          <cell r="K23">
            <v>4.8</v>
          </cell>
          <cell r="L23">
            <v>5</v>
          </cell>
          <cell r="M23">
            <v>5</v>
          </cell>
          <cell r="N23">
            <v>5.4</v>
          </cell>
          <cell r="O23">
            <v>3.9449999999999998</v>
          </cell>
          <cell r="P23">
            <v>3.2719999999999998</v>
          </cell>
          <cell r="Q23">
            <v>3.1</v>
          </cell>
        </row>
        <row r="24">
          <cell r="B24" t="str">
            <v xml:space="preserve">Water </v>
          </cell>
          <cell r="E24">
            <v>3.8</v>
          </cell>
          <cell r="F24">
            <v>1.1000000000000001</v>
          </cell>
          <cell r="G24">
            <v>3.1</v>
          </cell>
          <cell r="H24">
            <v>3.7</v>
          </cell>
          <cell r="I24">
            <v>2.9</v>
          </cell>
          <cell r="J24">
            <v>2.9</v>
          </cell>
          <cell r="K24">
            <v>2.6</v>
          </cell>
          <cell r="L24">
            <v>1.4</v>
          </cell>
          <cell r="M24">
            <v>1.8</v>
          </cell>
          <cell r="N24">
            <v>1.8</v>
          </cell>
          <cell r="O24">
            <v>1.5</v>
          </cell>
          <cell r="P24">
            <v>1.4</v>
          </cell>
          <cell r="Q24">
            <v>1.8</v>
          </cell>
        </row>
        <row r="25">
          <cell r="B25" t="str">
            <v>All modes</v>
          </cell>
          <cell r="E25">
            <v>12.900000000000002</v>
          </cell>
          <cell r="F25">
            <v>6</v>
          </cell>
          <cell r="G25">
            <v>11.4</v>
          </cell>
          <cell r="H25">
            <v>12.5</v>
          </cell>
          <cell r="I25">
            <v>11.3</v>
          </cell>
          <cell r="J25">
            <v>11.4</v>
          </cell>
          <cell r="K25">
            <v>11.4</v>
          </cell>
          <cell r="L25">
            <v>10.6</v>
          </cell>
          <cell r="M25">
            <v>10.5</v>
          </cell>
          <cell r="N25">
            <v>10.700000000000001</v>
          </cell>
          <cell r="O25">
            <v>8.5449999999999999</v>
          </cell>
          <cell r="P25">
            <v>7.5719999999999992</v>
          </cell>
          <cell r="Q25">
            <v>7.6000000000000005</v>
          </cell>
        </row>
        <row r="28">
          <cell r="B28" t="str">
            <v>Road 1</v>
          </cell>
          <cell r="E28">
            <v>88.5</v>
          </cell>
          <cell r="F28">
            <v>93.1</v>
          </cell>
          <cell r="G28">
            <v>94.7</v>
          </cell>
          <cell r="H28">
            <v>98</v>
          </cell>
          <cell r="I28">
            <v>105.5</v>
          </cell>
          <cell r="J28">
            <v>121.4</v>
          </cell>
          <cell r="K28">
            <v>129.30000000000001</v>
          </cell>
          <cell r="L28">
            <v>127.2</v>
          </cell>
          <cell r="M28">
            <v>121.4</v>
          </cell>
          <cell r="N28">
            <v>118.5</v>
          </cell>
          <cell r="O28">
            <v>126.4</v>
          </cell>
          <cell r="P28">
            <v>135.69999999999999</v>
          </cell>
          <cell r="Q28">
            <v>141.19999999999999</v>
          </cell>
        </row>
        <row r="29">
          <cell r="B29" t="str">
            <v xml:space="preserve">Rail </v>
          </cell>
          <cell r="E29">
            <v>8.9</v>
          </cell>
          <cell r="F29">
            <v>8.9</v>
          </cell>
          <cell r="G29">
            <v>9.1999999999999993</v>
          </cell>
          <cell r="H29">
            <v>9.4</v>
          </cell>
          <cell r="I29">
            <v>10.6</v>
          </cell>
          <cell r="J29">
            <v>11.4</v>
          </cell>
          <cell r="K29">
            <v>10.3</v>
          </cell>
          <cell r="L29">
            <v>8.6999999999999993</v>
          </cell>
          <cell r="M29">
            <v>8.3000000000000007</v>
          </cell>
          <cell r="N29">
            <v>8.1</v>
          </cell>
          <cell r="O29">
            <v>7.91</v>
          </cell>
          <cell r="P29">
            <v>7.8839999999999995</v>
          </cell>
          <cell r="Q29">
            <v>8.5</v>
          </cell>
        </row>
        <row r="30">
          <cell r="B30" t="str">
            <v xml:space="preserve">Water </v>
          </cell>
          <cell r="E30">
            <v>5.0999999999999996</v>
          </cell>
          <cell r="F30">
            <v>5.5</v>
          </cell>
          <cell r="G30">
            <v>3.6</v>
          </cell>
          <cell r="H30">
            <v>5.0999999999999996</v>
          </cell>
          <cell r="I30">
            <v>7.3</v>
          </cell>
          <cell r="J30">
            <v>7.1</v>
          </cell>
          <cell r="K30">
            <v>7.4</v>
          </cell>
          <cell r="L30">
            <v>8.6999999999999993</v>
          </cell>
          <cell r="M30">
            <v>9.9</v>
          </cell>
          <cell r="N30">
            <v>10.4</v>
          </cell>
          <cell r="O30">
            <v>8</v>
          </cell>
          <cell r="P30">
            <v>7.8</v>
          </cell>
          <cell r="Q30">
            <v>8.3000000000000007</v>
          </cell>
        </row>
        <row r="31">
          <cell r="B31" t="str">
            <v>All modes</v>
          </cell>
          <cell r="E31">
            <v>102.5</v>
          </cell>
          <cell r="F31">
            <v>107.5</v>
          </cell>
          <cell r="G31">
            <v>107.5</v>
          </cell>
          <cell r="H31">
            <v>112.5</v>
          </cell>
          <cell r="I31">
            <v>123.39999999999999</v>
          </cell>
          <cell r="J31">
            <v>139.9</v>
          </cell>
          <cell r="K31">
            <v>147.00000000000003</v>
          </cell>
          <cell r="L31">
            <v>144.6</v>
          </cell>
          <cell r="M31">
            <v>139.60000000000002</v>
          </cell>
          <cell r="N31">
            <v>137</v>
          </cell>
          <cell r="O31">
            <v>142.31</v>
          </cell>
          <cell r="P31">
            <v>151.38399999999999</v>
          </cell>
          <cell r="Q31">
            <v>158</v>
          </cell>
        </row>
        <row r="34">
          <cell r="B34" t="str">
            <v>Road 1</v>
          </cell>
          <cell r="E34">
            <v>95.9</v>
          </cell>
          <cell r="F34">
            <v>100.39999999999999</v>
          </cell>
          <cell r="G34">
            <v>103.2</v>
          </cell>
          <cell r="H34">
            <v>105.4</v>
          </cell>
          <cell r="I34">
            <v>113.3</v>
          </cell>
          <cell r="J34">
            <v>130.20000000000002</v>
          </cell>
          <cell r="K34">
            <v>137.80000000000001</v>
          </cell>
          <cell r="L34">
            <v>136.30000000000001</v>
          </cell>
          <cell r="M34">
            <v>130</v>
          </cell>
          <cell r="N34">
            <v>126.5</v>
          </cell>
          <cell r="O34">
            <v>134.5</v>
          </cell>
          <cell r="P34">
            <v>143.69999999999999</v>
          </cell>
          <cell r="Q34">
            <v>149.6</v>
          </cell>
        </row>
        <row r="35">
          <cell r="B35" t="str">
            <v xml:space="preserve">Rail </v>
          </cell>
          <cell r="E35">
            <v>17.100000000000001</v>
          </cell>
          <cell r="F35">
            <v>12.700000000000001</v>
          </cell>
          <cell r="G35">
            <v>15.299999999999999</v>
          </cell>
          <cell r="H35">
            <v>16.600000000000001</v>
          </cell>
          <cell r="I35">
            <v>17.3</v>
          </cell>
          <cell r="J35">
            <v>18.2</v>
          </cell>
          <cell r="K35">
            <v>17.3</v>
          </cell>
          <cell r="L35">
            <v>15.799999999999999</v>
          </cell>
          <cell r="M35">
            <v>15.3</v>
          </cell>
          <cell r="N35">
            <v>15.5</v>
          </cell>
          <cell r="O35">
            <v>13.765000000000001</v>
          </cell>
          <cell r="P35">
            <v>12.977999999999998</v>
          </cell>
          <cell r="Q35">
            <v>13.3</v>
          </cell>
        </row>
        <row r="36">
          <cell r="B36" t="str">
            <v xml:space="preserve">Water </v>
          </cell>
          <cell r="E36">
            <v>60.3</v>
          </cell>
          <cell r="F36">
            <v>59.7</v>
          </cell>
          <cell r="G36">
            <v>57.6</v>
          </cell>
          <cell r="H36">
            <v>54.800000000000004</v>
          </cell>
          <cell r="I36">
            <v>54.099999999999994</v>
          </cell>
          <cell r="J36">
            <v>59.3</v>
          </cell>
          <cell r="K36">
            <v>57.9</v>
          </cell>
          <cell r="L36">
            <v>55.7</v>
          </cell>
          <cell r="M36">
            <v>57.699999999999996</v>
          </cell>
          <cell r="N36">
            <v>54.900000000000006</v>
          </cell>
          <cell r="O36">
            <v>51.2</v>
          </cell>
          <cell r="P36">
            <v>52.2</v>
          </cell>
          <cell r="Q36">
            <v>52.6</v>
          </cell>
        </row>
        <row r="37">
          <cell r="B37" t="str">
            <v xml:space="preserve">Pipeline </v>
          </cell>
          <cell r="E37">
            <v>9.9</v>
          </cell>
          <cell r="F37">
            <v>10.4</v>
          </cell>
          <cell r="G37">
            <v>11.2</v>
          </cell>
          <cell r="H37">
            <v>10.4</v>
          </cell>
          <cell r="I37">
            <v>10.5</v>
          </cell>
          <cell r="J37">
            <v>11.1</v>
          </cell>
          <cell r="K37">
            <v>9.8000000000000007</v>
          </cell>
          <cell r="L37">
            <v>11</v>
          </cell>
          <cell r="M37">
            <v>11.1</v>
          </cell>
          <cell r="N37">
            <v>11</v>
          </cell>
          <cell r="O37">
            <v>11.6</v>
          </cell>
          <cell r="P37">
            <v>12</v>
          </cell>
          <cell r="Q37">
            <v>12.2</v>
          </cell>
        </row>
        <row r="38">
          <cell r="B38" t="str">
            <v xml:space="preserve">All modes </v>
          </cell>
          <cell r="E38">
            <v>183.20000000000002</v>
          </cell>
          <cell r="F38">
            <v>183.20000000000002</v>
          </cell>
          <cell r="G38">
            <v>187.29999999999998</v>
          </cell>
          <cell r="H38">
            <v>187.20000000000002</v>
          </cell>
          <cell r="I38">
            <v>195.2</v>
          </cell>
          <cell r="J38">
            <v>218.79999999999998</v>
          </cell>
          <cell r="K38">
            <v>222.80000000000004</v>
          </cell>
          <cell r="L38">
            <v>218.8</v>
          </cell>
          <cell r="M38">
            <v>214.1</v>
          </cell>
          <cell r="N38">
            <v>207.9</v>
          </cell>
          <cell r="O38">
            <v>211.06499999999997</v>
          </cell>
          <cell r="P38">
            <v>220.87799999999999</v>
          </cell>
          <cell r="Q38">
            <v>227.7</v>
          </cell>
        </row>
        <row r="41">
          <cell r="B41" t="str">
            <v>Road 1</v>
          </cell>
          <cell r="E41">
            <v>52.3471615720524</v>
          </cell>
          <cell r="F41">
            <v>54.803493449781648</v>
          </cell>
          <cell r="G41">
            <v>55.098772023491726</v>
          </cell>
          <cell r="H41">
            <v>56.303418803418801</v>
          </cell>
          <cell r="I41">
            <v>58.043032786885249</v>
          </cell>
          <cell r="J41">
            <v>59.506398537477153</v>
          </cell>
          <cell r="K41">
            <v>61.849192100538595</v>
          </cell>
          <cell r="L41">
            <v>62.294332723948806</v>
          </cell>
          <cell r="M41">
            <v>60.719290051377861</v>
          </cell>
          <cell r="N41">
            <v>60.846560846560848</v>
          </cell>
          <cell r="O41">
            <v>63.724445076161388</v>
          </cell>
          <cell r="P41">
            <v>65.058539103034249</v>
          </cell>
          <cell r="Q41">
            <v>65.700483091787447</v>
          </cell>
        </row>
        <row r="42">
          <cell r="B42" t="str">
            <v xml:space="preserve">Rail </v>
          </cell>
          <cell r="E42">
            <v>9.3340611353711793</v>
          </cell>
          <cell r="F42">
            <v>6.9323144104803491</v>
          </cell>
          <cell r="G42">
            <v>8.1687132941804581</v>
          </cell>
          <cell r="H42">
            <v>8.867521367521368</v>
          </cell>
          <cell r="I42">
            <v>8.8627049180327884</v>
          </cell>
          <cell r="J42">
            <v>8.3180987202925056</v>
          </cell>
          <cell r="K42">
            <v>7.7648114901256724</v>
          </cell>
          <cell r="L42">
            <v>7.221206581352833</v>
          </cell>
          <cell r="M42">
            <v>7.1461933675852407</v>
          </cell>
          <cell r="N42">
            <v>7.4555074555074556</v>
          </cell>
          <cell r="O42">
            <v>6.5216876317722035</v>
          </cell>
          <cell r="P42">
            <v>5.8756417569880197</v>
          </cell>
          <cell r="Q42">
            <v>5.8410188844971467</v>
          </cell>
        </row>
        <row r="43">
          <cell r="B43" t="str">
            <v xml:space="preserve">Water </v>
          </cell>
          <cell r="E43">
            <v>32.914847161572048</v>
          </cell>
          <cell r="F43">
            <v>32.587336244541483</v>
          </cell>
          <cell r="G43">
            <v>30.752802989855848</v>
          </cell>
          <cell r="H43">
            <v>29.273504273504276</v>
          </cell>
          <cell r="I43">
            <v>27.715163934426229</v>
          </cell>
          <cell r="J43">
            <v>27.102376599634368</v>
          </cell>
          <cell r="K43">
            <v>25.987432675044879</v>
          </cell>
          <cell r="L43">
            <v>25.457038391224863</v>
          </cell>
          <cell r="M43">
            <v>26.950023353573094</v>
          </cell>
          <cell r="N43">
            <v>26.406926406926406</v>
          </cell>
          <cell r="O43">
            <v>24.257930021557346</v>
          </cell>
          <cell r="P43">
            <v>23.632955749327685</v>
          </cell>
          <cell r="Q43">
            <v>23.100570926657884</v>
          </cell>
        </row>
        <row r="44">
          <cell r="B44" t="str">
            <v>Pipeline</v>
          </cell>
          <cell r="E44">
            <v>5.4039301310043664</v>
          </cell>
          <cell r="F44">
            <v>5.676855895196506</v>
          </cell>
          <cell r="G44">
            <v>5.9797116924719704</v>
          </cell>
          <cell r="H44">
            <v>5.5555555555555554</v>
          </cell>
          <cell r="I44">
            <v>5.3790983606557381</v>
          </cell>
          <cell r="J44">
            <v>5.0731261425959779</v>
          </cell>
          <cell r="K44">
            <v>4.3985637342908435</v>
          </cell>
          <cell r="L44">
            <v>5.0274223034734913</v>
          </cell>
          <cell r="M44">
            <v>5.1844932274638014</v>
          </cell>
          <cell r="N44">
            <v>5.2910052910052912</v>
          </cell>
          <cell r="O44">
            <v>5.495937270509085</v>
          </cell>
          <cell r="P44">
            <v>5.4328633906500423</v>
          </cell>
          <cell r="Q44">
            <v>5.3579270970575319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Z.Stat export"/>
    </sheetNames>
    <sheetDataSet>
      <sheetData sheetId="0">
        <row r="6">
          <cell r="Q6">
            <v>3.4171487742835918E-2</v>
          </cell>
          <cell r="U6">
            <v>2.9601865242156834E-2</v>
          </cell>
          <cell r="W6">
            <v>2.6084754347459056E-2</v>
          </cell>
        </row>
        <row r="7">
          <cell r="Q7">
            <v>6.5529117799338177E-2</v>
          </cell>
          <cell r="U7">
            <v>5.85544373284538E-2</v>
          </cell>
          <cell r="W7">
            <v>5.3435758905959821E-2</v>
          </cell>
        </row>
        <row r="8">
          <cell r="Q8">
            <v>0.10134389843099295</v>
          </cell>
          <cell r="U8">
            <v>8.6415016379895529E-2</v>
          </cell>
          <cell r="W8">
            <v>8.5041364173560702E-2</v>
          </cell>
        </row>
        <row r="9">
          <cell r="Q9">
            <v>0.10195169169124102</v>
          </cell>
          <cell r="U9">
            <v>9.1889738216804892E-2</v>
          </cell>
          <cell r="W9">
            <v>8.9211548201924701E-2</v>
          </cell>
        </row>
        <row r="10">
          <cell r="Q10">
            <v>0.10433784300925196</v>
          </cell>
          <cell r="U10">
            <v>9.2037304843136672E-2</v>
          </cell>
          <cell r="W10">
            <v>9.5694749282458219E-2</v>
          </cell>
        </row>
        <row r="11">
          <cell r="Q11">
            <v>5.1392296783197892E-2</v>
          </cell>
          <cell r="U11">
            <v>4.614408405395036E-2</v>
          </cell>
          <cell r="W11">
            <v>5.0920141820023634E-2</v>
          </cell>
        </row>
        <row r="12">
          <cell r="Q12">
            <v>3.1132521441595569E-2</v>
          </cell>
          <cell r="U12">
            <v>4.663105392084526E-2</v>
          </cell>
          <cell r="W12">
            <v>5.2051325341887555E-2</v>
          </cell>
        </row>
        <row r="13">
          <cell r="Q13">
            <v>2.1137698939738422E-2</v>
          </cell>
          <cell r="U13">
            <v>4.4565121152200217E-2</v>
          </cell>
          <cell r="W13">
            <v>4.8269458044909674E-2</v>
          </cell>
        </row>
        <row r="14">
          <cell r="Q14">
            <v>3.6062400108052138E-2</v>
          </cell>
          <cell r="U14">
            <v>3.122509813180651E-2</v>
          </cell>
          <cell r="W14">
            <v>2.7519837919972985E-2</v>
          </cell>
        </row>
        <row r="15">
          <cell r="Q15">
            <v>6.8838214438466563E-2</v>
          </cell>
          <cell r="U15">
            <v>6.191895640881858E-2</v>
          </cell>
          <cell r="W15">
            <v>5.6542292757048793E-2</v>
          </cell>
        </row>
        <row r="16">
          <cell r="Q16">
            <v>0.10235688719807307</v>
          </cell>
          <cell r="U16">
            <v>9.4826314080807481E-2</v>
          </cell>
          <cell r="W16">
            <v>9.243626540604423E-2</v>
          </cell>
        </row>
        <row r="17">
          <cell r="Q17">
            <v>9.2564662449631949E-2</v>
          </cell>
          <cell r="U17">
            <v>0.1007584924593454</v>
          </cell>
          <cell r="W17">
            <v>9.5036299172716526E-2</v>
          </cell>
        </row>
        <row r="18">
          <cell r="Q18">
            <v>9.7697138869504541E-2</v>
          </cell>
          <cell r="U18">
            <v>9.5844523802496834E-2</v>
          </cell>
          <cell r="W18">
            <v>9.777139962856661E-2</v>
          </cell>
        </row>
        <row r="19">
          <cell r="Q19">
            <v>4.9186232357112308E-2</v>
          </cell>
          <cell r="U19">
            <v>4.3059941563615971E-2</v>
          </cell>
          <cell r="W19">
            <v>4.6749957791659635E-2</v>
          </cell>
        </row>
        <row r="20">
          <cell r="Q20">
            <v>2.813857686333656E-2</v>
          </cell>
          <cell r="U20">
            <v>4.1613788625564439E-2</v>
          </cell>
          <cell r="W20">
            <v>4.6074624345770726E-2</v>
          </cell>
        </row>
        <row r="21">
          <cell r="Q21">
            <v>1.4159331877630956E-2</v>
          </cell>
          <cell r="U21">
            <v>3.4914263790101228E-2</v>
          </cell>
          <cell r="W21">
            <v>3.7160222860037145E-2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Total Trip Tables"/>
      <sheetName val="Total Distance Tables"/>
      <sheetName val="Total Duration Tables"/>
      <sheetName val="Total Trip Tables Sup #2"/>
      <sheetName val="Total Trip Tables Sup #1"/>
      <sheetName val="Total Trip Tables Original"/>
      <sheetName val="Total Distance Tables Sup #2"/>
      <sheetName val="Total Distance Tables Sup #1"/>
      <sheetName val="Total Distance Tables Original"/>
      <sheetName val="Total Duration Tables Sup #2"/>
      <sheetName val="Total Duration Tables Sup #1"/>
      <sheetName val="Total Duration Tables Original"/>
      <sheetName val="Original Population"/>
      <sheetName val="Updated Population"/>
      <sheetName val="Formatted Trip Summary"/>
      <sheetName val="Unformatted Trip Summary"/>
      <sheetName val="Active Mode Assumptions"/>
      <sheetName val="PT Assumptions"/>
      <sheetName val="Other Assumptions"/>
    </sheetNames>
    <sheetDataSet>
      <sheetData sheetId="0"/>
      <sheetData sheetId="1"/>
      <sheetData sheetId="2">
        <row r="171">
          <cell r="B171">
            <v>807.42091028530001</v>
          </cell>
          <cell r="H171">
            <v>988.2903584924012</v>
          </cell>
        </row>
        <row r="172">
          <cell r="B172">
            <v>312.57850166600002</v>
          </cell>
          <cell r="H172">
            <v>436.98843934259355</v>
          </cell>
        </row>
        <row r="173">
          <cell r="B173">
            <v>456.51929399999995</v>
          </cell>
          <cell r="H173">
            <v>2018.9258539749999</v>
          </cell>
        </row>
        <row r="174">
          <cell r="B174">
            <v>1110.9386781444002</v>
          </cell>
          <cell r="H174">
            <v>1831.1580710321828</v>
          </cell>
        </row>
        <row r="175">
          <cell r="B175">
            <v>354.13898835450004</v>
          </cell>
          <cell r="H175">
            <v>489.12275917313201</v>
          </cell>
        </row>
        <row r="176">
          <cell r="B176">
            <v>30373.708042980001</v>
          </cell>
          <cell r="H176">
            <v>41576.570826240131</v>
          </cell>
        </row>
        <row r="177">
          <cell r="B177">
            <v>17104.323927279998</v>
          </cell>
          <cell r="H177">
            <v>20353.458072735611</v>
          </cell>
        </row>
      </sheetData>
      <sheetData sheetId="3">
        <row r="171">
          <cell r="B171">
            <v>205.0143830817</v>
          </cell>
          <cell r="H171">
            <v>256.73138136351884</v>
          </cell>
        </row>
        <row r="172">
          <cell r="B172">
            <v>24.928098629399997</v>
          </cell>
          <cell r="H172">
            <v>33.54268913605452</v>
          </cell>
        </row>
        <row r="173">
          <cell r="B173">
            <v>11.945939429511251</v>
          </cell>
          <cell r="H173">
            <v>62.854052285459268</v>
          </cell>
        </row>
        <row r="174">
          <cell r="B174">
            <v>52.97039647611355</v>
          </cell>
          <cell r="H174">
            <v>90.891028195335423</v>
          </cell>
        </row>
        <row r="175">
          <cell r="B175">
            <v>17.937008028103342</v>
          </cell>
          <cell r="H175">
            <v>26.896646151691606</v>
          </cell>
        </row>
        <row r="176">
          <cell r="B176">
            <v>820.39837236829999</v>
          </cell>
          <cell r="H176">
            <v>1125.3025102306137</v>
          </cell>
        </row>
        <row r="177">
          <cell r="B177">
            <v>430.09037615619997</v>
          </cell>
          <cell r="H177">
            <v>502.25774455969815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Total Trip Tables"/>
      <sheetName val="Total Distance Tables"/>
      <sheetName val="Total Duration Tables"/>
      <sheetName val="Total Trip Tables Sup #2"/>
      <sheetName val="Total Trip Tables Sup #1"/>
      <sheetName val="Total Trip Tables Original"/>
      <sheetName val="Total Distance Tables Sup #2"/>
      <sheetName val="Total Distance Tables Sup #1"/>
      <sheetName val="Total Distance Tables Original"/>
      <sheetName val="Total Duration Tables Sup #2"/>
      <sheetName val="Total Duration Tables Sup #1"/>
      <sheetName val="Total Duration Tables Original"/>
      <sheetName val="Original Population"/>
      <sheetName val="Updated Population"/>
      <sheetName val="Formatted Trip Summary"/>
      <sheetName val="Unformatted Trip Summary"/>
      <sheetName val="Active Mode Assumptions"/>
      <sheetName val="PT Assumptions"/>
      <sheetName val="Other Assumptions"/>
    </sheetNames>
    <sheetDataSet>
      <sheetData sheetId="0"/>
      <sheetData sheetId="1"/>
      <sheetData sheetId="2">
        <row r="171">
          <cell r="H171">
            <v>1342.0102549535409</v>
          </cell>
        </row>
        <row r="172">
          <cell r="H172">
            <v>1364.0253276014787</v>
          </cell>
        </row>
        <row r="173">
          <cell r="H173">
            <v>2332.0725796462216</v>
          </cell>
        </row>
        <row r="174">
          <cell r="H174">
            <v>4300.3988647280812</v>
          </cell>
        </row>
        <row r="175">
          <cell r="H175">
            <v>456.61645057268413</v>
          </cell>
        </row>
        <row r="176">
          <cell r="H176">
            <v>34137.431495728168</v>
          </cell>
        </row>
        <row r="177">
          <cell r="H177">
            <v>19672.052223700757</v>
          </cell>
        </row>
      </sheetData>
      <sheetData sheetId="3">
        <row r="171">
          <cell r="H171">
            <v>300.15841006746172</v>
          </cell>
        </row>
        <row r="172">
          <cell r="H172">
            <v>97.739527185184599</v>
          </cell>
        </row>
        <row r="173">
          <cell r="H173">
            <v>70.348462196662879</v>
          </cell>
        </row>
        <row r="174">
          <cell r="H174">
            <v>151.49794807273449</v>
          </cell>
        </row>
        <row r="175">
          <cell r="H175">
            <v>23.828555457682928</v>
          </cell>
        </row>
        <row r="176">
          <cell r="H176">
            <v>877.00956971788787</v>
          </cell>
        </row>
        <row r="177">
          <cell r="H177">
            <v>461.4012734204473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Total Trip Tables"/>
      <sheetName val="Total Distance Tables"/>
      <sheetName val="Total Duration Tables"/>
      <sheetName val="Total Trip Tables Sup #2"/>
      <sheetName val="Total Trip Tables Sup #1"/>
      <sheetName val="Total Trip Tables Original"/>
      <sheetName val="Total Distance Tables Sup #2"/>
      <sheetName val="Total Distance Tables Sup #1"/>
      <sheetName val="Total Distance Tables Original"/>
      <sheetName val="Total Duration Tables Sup #2"/>
      <sheetName val="Total Duration Tables Sup #1"/>
      <sheetName val="Total Duration Tables Original"/>
      <sheetName val="Original Population"/>
      <sheetName val="Updated Population"/>
      <sheetName val="Formatted Trip Summary"/>
      <sheetName val="Unformatted Trip Summary"/>
      <sheetName val="Active Mode Assumptions"/>
      <sheetName val="PT Assumptions"/>
      <sheetName val="Other Assumptions"/>
    </sheetNames>
    <sheetDataSet>
      <sheetData sheetId="0"/>
      <sheetData sheetId="1"/>
      <sheetData sheetId="2">
        <row r="171">
          <cell r="H171">
            <v>1095.3294668275148</v>
          </cell>
        </row>
        <row r="172">
          <cell r="H172">
            <v>870.22173009734274</v>
          </cell>
        </row>
        <row r="173">
          <cell r="H173">
            <v>1694.5263938919784</v>
          </cell>
        </row>
        <row r="174">
          <cell r="H174">
            <v>1553.4065219880929</v>
          </cell>
        </row>
        <row r="175">
          <cell r="H175">
            <v>474.06144010750779</v>
          </cell>
        </row>
        <row r="176">
          <cell r="H176">
            <v>40958.337388891792</v>
          </cell>
        </row>
        <row r="177">
          <cell r="H177">
            <v>19750.607396995758</v>
          </cell>
        </row>
      </sheetData>
      <sheetData sheetId="3">
        <row r="171">
          <cell r="H171">
            <v>285.18729967225283</v>
          </cell>
        </row>
        <row r="172">
          <cell r="H172">
            <v>66.546160340264336</v>
          </cell>
        </row>
        <row r="173">
          <cell r="H173">
            <v>51.672491764599471</v>
          </cell>
        </row>
        <row r="174">
          <cell r="H174">
            <v>74.31431824893717</v>
          </cell>
        </row>
        <row r="175">
          <cell r="H175">
            <v>24.685325398000671</v>
          </cell>
        </row>
        <row r="176">
          <cell r="H176">
            <v>1080.1371700070183</v>
          </cell>
        </row>
        <row r="177">
          <cell r="H177">
            <v>461.64058693465893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Total Trip Tables"/>
      <sheetName val="Total Distance Tables"/>
      <sheetName val="Total Duration Tables"/>
      <sheetName val="Total Trip Tables Sup #2"/>
      <sheetName val="Total Trip Tables Sup #1"/>
      <sheetName val="Total Trip Tables Original"/>
      <sheetName val="Total Distance Tables Sup #2"/>
      <sheetName val="Total Distance Tables Sup #1"/>
      <sheetName val="Total Distance Tables Original"/>
      <sheetName val="Total Duration Tables Sup #2"/>
      <sheetName val="Total Duration Tables Sup #1"/>
      <sheetName val="Total Duration Tables Original"/>
      <sheetName val="Original Population"/>
      <sheetName val="Updated Population"/>
      <sheetName val="Formatted Trip Summary"/>
      <sheetName val="Unformatted Trip Summary"/>
      <sheetName val="Active Mode Assumptions"/>
      <sheetName val="PT Assumptions"/>
      <sheetName val="Other Assumptions"/>
    </sheetNames>
    <sheetDataSet>
      <sheetData sheetId="0"/>
      <sheetData sheetId="1"/>
      <sheetData sheetId="2">
        <row r="171">
          <cell r="H171">
            <v>1129.2228839640622</v>
          </cell>
        </row>
        <row r="172">
          <cell r="H172">
            <v>742.30735669685509</v>
          </cell>
        </row>
        <row r="173">
          <cell r="H173">
            <v>1946.9975971704562</v>
          </cell>
        </row>
        <row r="174">
          <cell r="H174">
            <v>1728.4755514783494</v>
          </cell>
        </row>
        <row r="175">
          <cell r="H175">
            <v>571.30074129853426</v>
          </cell>
        </row>
        <row r="176">
          <cell r="H176">
            <v>48739.107469741597</v>
          </cell>
        </row>
        <row r="177">
          <cell r="H177">
            <v>24566.341359061342</v>
          </cell>
        </row>
      </sheetData>
      <sheetData sheetId="3">
        <row r="171">
          <cell r="H171">
            <v>293.20821423049307</v>
          </cell>
        </row>
        <row r="172">
          <cell r="H172">
            <v>56.892798238055683</v>
          </cell>
        </row>
        <row r="173">
          <cell r="H173">
            <v>60.482746901003239</v>
          </cell>
        </row>
        <row r="174">
          <cell r="H174">
            <v>82.807086418857168</v>
          </cell>
        </row>
        <row r="175">
          <cell r="H175">
            <v>29.661780738575544</v>
          </cell>
        </row>
        <row r="176">
          <cell r="H176">
            <v>1283.8817928796907</v>
          </cell>
        </row>
        <row r="177">
          <cell r="H177">
            <v>581.87836372897016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nance"/>
      <sheetName val="Total Trip Tables"/>
      <sheetName val="Total Distance Tables"/>
      <sheetName val="Total Duration Tables"/>
      <sheetName val="Total Trip Tables Sup #2"/>
      <sheetName val="Total Trip Tables Sup #1"/>
      <sheetName val="Total Trip Tables Original"/>
      <sheetName val="Total Distance Tables Sup #2"/>
      <sheetName val="Total Distance Tables Sup #1"/>
      <sheetName val="Total Distance Tables Original"/>
      <sheetName val="Total Duration Tables Sup #2"/>
      <sheetName val="Total Duration Tables Sup #1"/>
      <sheetName val="Total Duration Tables Original"/>
      <sheetName val="Original Population"/>
      <sheetName val="Updated Population"/>
      <sheetName val="Formatted Trip Summary"/>
      <sheetName val="Unformatted Trip Summary"/>
      <sheetName val="Active Mode Assumptions"/>
      <sheetName val="PT Assumptions"/>
      <sheetName val="Other Assumptions"/>
    </sheetNames>
    <sheetDataSet>
      <sheetData sheetId="0"/>
      <sheetData sheetId="1"/>
      <sheetData sheetId="2">
        <row r="171">
          <cell r="H171">
            <v>959.51861495204048</v>
          </cell>
        </row>
        <row r="172">
          <cell r="H172">
            <v>683.81265133697241</v>
          </cell>
        </row>
        <row r="173">
          <cell r="H173">
            <v>1477.4281801828349</v>
          </cell>
        </row>
        <row r="174">
          <cell r="H174">
            <v>1381.7618323820202</v>
          </cell>
        </row>
        <row r="175">
          <cell r="H175">
            <v>487.52128013380121</v>
          </cell>
        </row>
        <row r="176">
          <cell r="H176">
            <v>41443.355251639157</v>
          </cell>
        </row>
        <row r="177">
          <cell r="H177">
            <v>21123.780806552833</v>
          </cell>
        </row>
      </sheetData>
      <sheetData sheetId="3">
        <row r="171">
          <cell r="H171">
            <v>249.58053901371866</v>
          </cell>
        </row>
        <row r="172">
          <cell r="H172">
            <v>51.990564736168373</v>
          </cell>
        </row>
        <row r="173">
          <cell r="H173">
            <v>44.827204385135218</v>
          </cell>
        </row>
        <row r="174">
          <cell r="H174">
            <v>64.200491640392556</v>
          </cell>
        </row>
        <row r="175">
          <cell r="H175">
            <v>24.451045923405022</v>
          </cell>
        </row>
        <row r="176">
          <cell r="H176">
            <v>1084.4978775817626</v>
          </cell>
        </row>
        <row r="177">
          <cell r="H177">
            <v>496.80586448106129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5"/>
  <sheetViews>
    <sheetView workbookViewId="0">
      <selection activeCell="J18" sqref="J18"/>
    </sheetView>
  </sheetViews>
  <sheetFormatPr defaultColWidth="8.81640625" defaultRowHeight="14.5" x14ac:dyDescent="0.35"/>
  <cols>
    <col min="1" max="16384" width="8.81640625" style="96"/>
  </cols>
  <sheetData>
    <row r="3" spans="1:10" ht="28.5" x14ac:dyDescent="0.65">
      <c r="A3" s="202" t="s">
        <v>357</v>
      </c>
      <c r="B3" s="202"/>
      <c r="C3" s="202"/>
      <c r="D3" s="202"/>
      <c r="E3" s="202"/>
      <c r="F3" s="202"/>
      <c r="G3" s="202"/>
      <c r="H3" s="202"/>
      <c r="I3" s="202"/>
      <c r="J3" s="202"/>
    </row>
    <row r="4" spans="1:10" ht="28.5" x14ac:dyDescent="0.65">
      <c r="A4" s="97"/>
      <c r="B4" s="97"/>
      <c r="C4" s="97"/>
      <c r="D4" s="97"/>
      <c r="E4" s="97"/>
      <c r="F4" s="97"/>
    </row>
    <row r="5" spans="1:10" ht="28.5" x14ac:dyDescent="0.65">
      <c r="A5" s="98" t="s">
        <v>175</v>
      </c>
      <c r="B5" s="97"/>
      <c r="C5" s="97"/>
      <c r="D5" s="97"/>
      <c r="E5" s="97"/>
      <c r="F5" s="97"/>
    </row>
    <row r="7" spans="1:10" ht="18.5" x14ac:dyDescent="0.45">
      <c r="A7" s="294" t="s">
        <v>394</v>
      </c>
      <c r="B7" s="294"/>
      <c r="C7" s="294"/>
      <c r="D7" s="294"/>
    </row>
    <row r="10" spans="1:10" x14ac:dyDescent="0.35">
      <c r="A10" s="619" t="s">
        <v>356</v>
      </c>
    </row>
    <row r="15" spans="1:10" x14ac:dyDescent="0.35">
      <c r="A15" s="96" t="s">
        <v>176</v>
      </c>
    </row>
    <row r="16" spans="1:10" x14ac:dyDescent="0.35">
      <c r="A16" s="96" t="s">
        <v>177</v>
      </c>
    </row>
    <row r="18" spans="1:1" x14ac:dyDescent="0.35">
      <c r="A18" s="96" t="s">
        <v>178</v>
      </c>
    </row>
    <row r="19" spans="1:1" x14ac:dyDescent="0.35">
      <c r="A19" s="96" t="s">
        <v>179</v>
      </c>
    </row>
    <row r="20" spans="1:1" x14ac:dyDescent="0.35">
      <c r="A20" s="96" t="s">
        <v>180</v>
      </c>
    </row>
    <row r="21" spans="1:1" x14ac:dyDescent="0.35">
      <c r="A21" s="96" t="s">
        <v>181</v>
      </c>
    </row>
    <row r="22" spans="1:1" x14ac:dyDescent="0.35">
      <c r="A22" s="96" t="s">
        <v>182</v>
      </c>
    </row>
    <row r="23" spans="1:1" x14ac:dyDescent="0.35">
      <c r="A23" s="96" t="s">
        <v>183</v>
      </c>
    </row>
    <row r="24" spans="1:1" x14ac:dyDescent="0.35">
      <c r="A24" s="96" t="s">
        <v>184</v>
      </c>
    </row>
    <row r="25" spans="1:1" x14ac:dyDescent="0.35">
      <c r="A25" s="96" t="s">
        <v>185</v>
      </c>
    </row>
    <row r="26" spans="1:1" x14ac:dyDescent="0.35">
      <c r="A26" s="96" t="s">
        <v>186</v>
      </c>
    </row>
    <row r="28" spans="1:1" x14ac:dyDescent="0.35">
      <c r="A28" s="96" t="s">
        <v>187</v>
      </c>
    </row>
    <row r="29" spans="1:1" x14ac:dyDescent="0.35">
      <c r="A29" s="96" t="s">
        <v>188</v>
      </c>
    </row>
    <row r="31" spans="1:1" x14ac:dyDescent="0.35">
      <c r="A31" s="96" t="s">
        <v>189</v>
      </c>
    </row>
    <row r="33" spans="1:1" x14ac:dyDescent="0.35">
      <c r="A33" s="295" t="s">
        <v>190</v>
      </c>
    </row>
    <row r="34" spans="1:1" x14ac:dyDescent="0.35">
      <c r="A34" s="690" t="s">
        <v>277</v>
      </c>
    </row>
    <row r="35" spans="1:1" x14ac:dyDescent="0.35">
      <c r="A35" s="438" t="s">
        <v>276</v>
      </c>
    </row>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zoomScale="80" zoomScaleNormal="80" zoomScalePageLayoutView="80" workbookViewId="0">
      <selection activeCell="C4" sqref="C4"/>
    </sheetView>
  </sheetViews>
  <sheetFormatPr defaultColWidth="9.1796875" defaultRowHeight="14.5" x14ac:dyDescent="0.35"/>
  <cols>
    <col min="1" max="1" width="12.26953125" style="101" customWidth="1"/>
    <col min="2" max="2" width="8.453125" style="104" customWidth="1"/>
    <col min="3" max="3" width="9.453125" style="101" customWidth="1"/>
    <col min="4" max="4" width="11.453125" style="101" customWidth="1"/>
    <col min="5" max="5" width="10.26953125" style="101" bestFit="1" customWidth="1"/>
    <col min="6" max="7" width="12.453125" style="10" bestFit="1" customWidth="1"/>
    <col min="8" max="9" width="9.1796875" style="10"/>
    <col min="10" max="10" width="9.1796875" style="10" customWidth="1"/>
    <col min="11" max="16384" width="9.1796875" style="10"/>
  </cols>
  <sheetData>
    <row r="1" spans="1:27" x14ac:dyDescent="0.35">
      <c r="A1" s="102" t="s">
        <v>61</v>
      </c>
      <c r="B1" s="1061" t="s">
        <v>60</v>
      </c>
      <c r="C1" s="1062"/>
      <c r="D1" s="1062"/>
      <c r="E1" s="1062"/>
      <c r="F1" s="1062"/>
      <c r="G1" s="1062"/>
    </row>
    <row r="2" spans="1:27" x14ac:dyDescent="0.35">
      <c r="A2" s="102"/>
      <c r="B2" s="102"/>
      <c r="C2" s="103">
        <v>0</v>
      </c>
      <c r="D2" s="103">
        <v>1</v>
      </c>
      <c r="E2" s="103">
        <v>2</v>
      </c>
      <c r="F2" s="103">
        <v>3</v>
      </c>
      <c r="G2" s="103">
        <v>4</v>
      </c>
    </row>
    <row r="3" spans="1:27" x14ac:dyDescent="0.35">
      <c r="A3" s="102" t="s">
        <v>59</v>
      </c>
      <c r="B3" s="297" t="s">
        <v>196</v>
      </c>
      <c r="C3" s="298">
        <f>'Calibration Data'!R73</f>
        <v>0</v>
      </c>
      <c r="D3" s="298">
        <f>'Calibration Data'!R89</f>
        <v>0</v>
      </c>
      <c r="E3" s="298">
        <f>'Calibration Data'!R105</f>
        <v>0</v>
      </c>
      <c r="F3" s="298">
        <f>'Calibration Data'!R121</f>
        <v>0</v>
      </c>
      <c r="G3" s="298">
        <f>'Calibration Data'!R137</f>
        <v>0</v>
      </c>
    </row>
    <row r="4" spans="1:27" x14ac:dyDescent="0.35">
      <c r="A4" s="102"/>
      <c r="B4" s="297" t="s">
        <v>191</v>
      </c>
      <c r="C4" s="298">
        <f>'Calibration Data'!R74</f>
        <v>0</v>
      </c>
      <c r="D4" s="298">
        <f>'Calibration Data'!R90</f>
        <v>0</v>
      </c>
      <c r="E4" s="298">
        <f>'Calibration Data'!R106</f>
        <v>0</v>
      </c>
      <c r="F4" s="298">
        <f>'Calibration Data'!R122</f>
        <v>0</v>
      </c>
      <c r="G4" s="298">
        <f>'Calibration Data'!R138</f>
        <v>0</v>
      </c>
    </row>
    <row r="5" spans="1:27" x14ac:dyDescent="0.35">
      <c r="A5" s="102"/>
      <c r="B5" s="297" t="s">
        <v>4</v>
      </c>
      <c r="C5" s="299">
        <f>'Calibration Data'!R75</f>
        <v>57.8</v>
      </c>
      <c r="D5" s="299">
        <f>'Calibration Data'!R91</f>
        <v>41</v>
      </c>
      <c r="E5" s="299">
        <f>'Calibration Data'!R107</f>
        <v>45.5</v>
      </c>
      <c r="F5" s="299">
        <f>'Calibration Data'!R123</f>
        <v>37.924999999999997</v>
      </c>
      <c r="G5" s="299">
        <f>'Calibration Data'!R139</f>
        <v>41</v>
      </c>
    </row>
    <row r="6" spans="1:27" x14ac:dyDescent="0.35">
      <c r="A6" s="102"/>
      <c r="B6" s="297" t="s">
        <v>5</v>
      </c>
      <c r="C6" s="299">
        <f>'Calibration Data'!R76</f>
        <v>51.25</v>
      </c>
      <c r="D6" s="299">
        <f>'Calibration Data'!R92</f>
        <v>51.25</v>
      </c>
      <c r="E6" s="299">
        <f>'Calibration Data'!R108</f>
        <v>64.75</v>
      </c>
      <c r="F6" s="299">
        <f>'Calibration Data'!R124</f>
        <v>46.125</v>
      </c>
      <c r="G6" s="299">
        <f>'Calibration Data'!R140</f>
        <v>44.8</v>
      </c>
      <c r="K6" s="297"/>
    </row>
    <row r="7" spans="1:27" x14ac:dyDescent="0.35">
      <c r="A7" s="102"/>
      <c r="B7" s="297" t="s">
        <v>6</v>
      </c>
      <c r="C7" s="299">
        <f>'Calibration Data'!R77</f>
        <v>58.274999999999999</v>
      </c>
      <c r="D7" s="299">
        <f>'Calibration Data'!R93</f>
        <v>61.5</v>
      </c>
      <c r="E7" s="299">
        <f>'Calibration Data'!R109</f>
        <v>53.725000000000001</v>
      </c>
      <c r="F7" s="299">
        <f>'Calibration Data'!R125</f>
        <v>52.2</v>
      </c>
      <c r="G7" s="299">
        <f>'Calibration Data'!R141</f>
        <v>46.7</v>
      </c>
      <c r="K7" s="297"/>
    </row>
    <row r="8" spans="1:27" x14ac:dyDescent="0.35">
      <c r="A8" s="102"/>
      <c r="B8" s="297" t="s">
        <v>7</v>
      </c>
      <c r="C8" s="299">
        <f>'Calibration Data'!R78</f>
        <v>41</v>
      </c>
      <c r="D8" s="299">
        <f>'Calibration Data'!R94</f>
        <v>31.25</v>
      </c>
      <c r="E8" s="299">
        <f>'Calibration Data'!R110</f>
        <v>44.0833333333333</v>
      </c>
      <c r="F8" s="299">
        <f>'Calibration Data'!R126</f>
        <v>42.5</v>
      </c>
      <c r="G8" s="299">
        <f>'Calibration Data'!R142</f>
        <v>32.799999999999997</v>
      </c>
      <c r="K8" s="297"/>
    </row>
    <row r="9" spans="1:27" x14ac:dyDescent="0.35">
      <c r="A9" s="102"/>
      <c r="B9" s="297" t="s">
        <v>8</v>
      </c>
      <c r="C9" s="299">
        <f>'Calibration Data'!R79</f>
        <v>4.375</v>
      </c>
      <c r="D9" s="299">
        <f>'Calibration Data'!R95</f>
        <v>5</v>
      </c>
      <c r="E9" s="299">
        <f>'Calibration Data'!R111</f>
        <v>8.3333333333333304</v>
      </c>
      <c r="F9" s="299">
        <f>'Calibration Data'!R127</f>
        <v>3.75</v>
      </c>
      <c r="G9" s="299">
        <f>'Calibration Data'!R143</f>
        <v>13.125</v>
      </c>
      <c r="H9"/>
      <c r="I9"/>
      <c r="J9"/>
      <c r="K9" s="297"/>
      <c r="L9"/>
      <c r="M9"/>
      <c r="N9"/>
      <c r="O9"/>
      <c r="P9"/>
      <c r="Q9"/>
      <c r="R9"/>
      <c r="S9"/>
      <c r="T9"/>
      <c r="U9"/>
      <c r="V9"/>
      <c r="W9"/>
      <c r="X9"/>
      <c r="Y9"/>
      <c r="Z9"/>
      <c r="AA9"/>
    </row>
    <row r="10" spans="1:27" x14ac:dyDescent="0.35">
      <c r="A10" s="102"/>
      <c r="B10" s="297" t="s">
        <v>9</v>
      </c>
      <c r="C10" s="299">
        <f>'Calibration Data'!R80</f>
        <v>0</v>
      </c>
      <c r="D10" s="299">
        <f>'Calibration Data'!R96</f>
        <v>10</v>
      </c>
      <c r="E10" s="299">
        <f>'Calibration Data'!R112</f>
        <v>3.75</v>
      </c>
      <c r="F10" s="299">
        <f>'Calibration Data'!R128</f>
        <v>5.2083333333333304</v>
      </c>
      <c r="G10" s="299">
        <f>'Calibration Data'!R144</f>
        <v>0</v>
      </c>
      <c r="H10"/>
      <c r="I10"/>
      <c r="J10"/>
      <c r="K10" s="297"/>
      <c r="L10"/>
      <c r="M10"/>
      <c r="N10"/>
      <c r="O10"/>
      <c r="P10"/>
      <c r="Q10"/>
      <c r="R10"/>
      <c r="S10"/>
      <c r="T10"/>
      <c r="U10"/>
      <c r="V10"/>
      <c r="W10"/>
      <c r="X10"/>
      <c r="Y10"/>
      <c r="Z10"/>
      <c r="AA10"/>
    </row>
    <row r="11" spans="1:27" x14ac:dyDescent="0.35">
      <c r="A11" s="102" t="s">
        <v>58</v>
      </c>
      <c r="B11" s="297" t="s">
        <v>196</v>
      </c>
      <c r="C11" s="298">
        <f>'Calibration Data'!R65</f>
        <v>0</v>
      </c>
      <c r="D11" s="298">
        <f>'Calibration Data'!R81</f>
        <v>0</v>
      </c>
      <c r="E11" s="298">
        <f>'Calibration Data'!R97</f>
        <v>0</v>
      </c>
      <c r="F11" s="298">
        <f>'Calibration Data'!R113</f>
        <v>0</v>
      </c>
      <c r="G11" s="298">
        <f>'Calibration Data'!R129</f>
        <v>0</v>
      </c>
      <c r="H11"/>
      <c r="I11"/>
      <c r="J11"/>
      <c r="K11" s="297"/>
      <c r="L11"/>
      <c r="M11"/>
      <c r="N11"/>
      <c r="O11"/>
      <c r="P11"/>
      <c r="Q11"/>
      <c r="R11"/>
      <c r="S11"/>
      <c r="T11"/>
      <c r="U11"/>
      <c r="V11"/>
      <c r="W11"/>
      <c r="X11"/>
      <c r="Y11"/>
      <c r="Z11"/>
      <c r="AA11"/>
    </row>
    <row r="12" spans="1:27" x14ac:dyDescent="0.35">
      <c r="A12" s="102"/>
      <c r="B12" s="297" t="s">
        <v>191</v>
      </c>
      <c r="C12" s="298">
        <f>'Calibration Data'!R66</f>
        <v>0</v>
      </c>
      <c r="D12" s="298">
        <f>'Calibration Data'!R82</f>
        <v>0</v>
      </c>
      <c r="E12" s="298">
        <f>'Calibration Data'!R98</f>
        <v>0</v>
      </c>
      <c r="F12" s="298">
        <f>'Calibration Data'!R114</f>
        <v>0</v>
      </c>
      <c r="G12" s="298">
        <f>'Calibration Data'!R130</f>
        <v>0</v>
      </c>
      <c r="K12" s="297"/>
    </row>
    <row r="13" spans="1:27" x14ac:dyDescent="0.35">
      <c r="A13" s="102"/>
      <c r="B13" s="297" t="s">
        <v>4</v>
      </c>
      <c r="C13" s="299">
        <f>'Calibration Data'!R67</f>
        <v>8.8666666666666707</v>
      </c>
      <c r="D13" s="299">
        <f>'Calibration Data'!R83</f>
        <v>24.6</v>
      </c>
      <c r="E13" s="299">
        <f>'Calibration Data'!R99</f>
        <v>29.85</v>
      </c>
      <c r="F13" s="299">
        <f>'Calibration Data'!R115</f>
        <v>30.4</v>
      </c>
      <c r="G13" s="299">
        <f>'Calibration Data'!R131</f>
        <v>41</v>
      </c>
      <c r="K13" s="297"/>
      <c r="M13"/>
      <c r="N13"/>
    </row>
    <row r="14" spans="1:27" x14ac:dyDescent="0.35">
      <c r="A14" s="102"/>
      <c r="B14" s="297" t="s">
        <v>5</v>
      </c>
      <c r="C14" s="299">
        <f>'Calibration Data'!R68</f>
        <v>41</v>
      </c>
      <c r="D14" s="299">
        <f>'Calibration Data'!R84</f>
        <v>35.875</v>
      </c>
      <c r="E14" s="299">
        <f>'Calibration Data'!R100</f>
        <v>38.85</v>
      </c>
      <c r="F14" s="299">
        <f>'Calibration Data'!R116</f>
        <v>41</v>
      </c>
      <c r="G14" s="299">
        <f>'Calibration Data'!R132</f>
        <v>42.266666666666701</v>
      </c>
      <c r="K14"/>
      <c r="M14"/>
      <c r="N14"/>
    </row>
    <row r="15" spans="1:27" x14ac:dyDescent="0.35">
      <c r="A15" s="102"/>
      <c r="B15" s="297" t="s">
        <v>6</v>
      </c>
      <c r="C15" s="299">
        <f>'Calibration Data'!R69</f>
        <v>41.65</v>
      </c>
      <c r="D15" s="299">
        <f>'Calibration Data'!R85</f>
        <v>43.05</v>
      </c>
      <c r="E15" s="299">
        <f>'Calibration Data'!R101</f>
        <v>46.066666666666698</v>
      </c>
      <c r="F15" s="299">
        <f>'Calibration Data'!R117</f>
        <v>41</v>
      </c>
      <c r="G15" s="299">
        <f>'Calibration Data'!R133</f>
        <v>41</v>
      </c>
      <c r="K15"/>
      <c r="M15"/>
      <c r="N15"/>
    </row>
    <row r="16" spans="1:27" x14ac:dyDescent="0.35">
      <c r="A16" s="102"/>
      <c r="B16" s="297" t="s">
        <v>7</v>
      </c>
      <c r="C16" s="299">
        <f>'Calibration Data'!R70</f>
        <v>32.799999999999997</v>
      </c>
      <c r="D16" s="299">
        <f>'Calibration Data'!R86</f>
        <v>18</v>
      </c>
      <c r="E16" s="299">
        <f>'Calibration Data'!R102</f>
        <v>31.75</v>
      </c>
      <c r="F16" s="299">
        <f>'Calibration Data'!R118</f>
        <v>20.5</v>
      </c>
      <c r="G16" s="299">
        <f>'Calibration Data'!R134</f>
        <v>4.5</v>
      </c>
      <c r="K16"/>
      <c r="M16"/>
      <c r="N16"/>
    </row>
    <row r="17" spans="1:14" x14ac:dyDescent="0.35">
      <c r="A17" s="102"/>
      <c r="B17" s="297" t="s">
        <v>8</v>
      </c>
      <c r="C17" s="299">
        <f>'Calibration Data'!R71</f>
        <v>5.8333333333333304</v>
      </c>
      <c r="D17" s="299">
        <f>'Calibration Data'!R87</f>
        <v>5</v>
      </c>
      <c r="E17" s="299">
        <f>'Calibration Data'!R103</f>
        <v>2.5</v>
      </c>
      <c r="F17" s="299">
        <f>'Calibration Data'!R119</f>
        <v>3.75</v>
      </c>
      <c r="G17" s="299">
        <f>'Calibration Data'!R135</f>
        <v>0</v>
      </c>
      <c r="K17"/>
      <c r="M17"/>
      <c r="N17"/>
    </row>
    <row r="18" spans="1:14" x14ac:dyDescent="0.35">
      <c r="A18" s="102"/>
      <c r="B18" s="297" t="s">
        <v>9</v>
      </c>
      <c r="C18" s="299">
        <f>'Calibration Data'!R72</f>
        <v>6.5</v>
      </c>
      <c r="D18" s="299">
        <f>'Calibration Data'!R88</f>
        <v>3.125</v>
      </c>
      <c r="E18" s="299">
        <f>'Calibration Data'!R104</f>
        <v>0.83333333333333304</v>
      </c>
      <c r="F18" s="299">
        <f>'Calibration Data'!R120</f>
        <v>0</v>
      </c>
      <c r="G18" s="299">
        <f>'Calibration Data'!R136</f>
        <v>0</v>
      </c>
      <c r="K18"/>
      <c r="M18"/>
      <c r="N18"/>
    </row>
    <row r="19" spans="1:14" x14ac:dyDescent="0.35">
      <c r="A19" s="102" t="s">
        <v>57</v>
      </c>
      <c r="B19" s="102"/>
      <c r="C19" s="300"/>
      <c r="D19" s="300"/>
      <c r="E19" s="300"/>
      <c r="F19" s="300"/>
      <c r="G19" s="300"/>
      <c r="K19"/>
      <c r="M19"/>
      <c r="N19"/>
    </row>
    <row r="20" spans="1:14" x14ac:dyDescent="0.35">
      <c r="A20" s="102" t="str">
        <f t="shared" ref="A20:G35" si="0">A3</f>
        <v>men</v>
      </c>
      <c r="B20" s="102" t="str">
        <f t="shared" si="0"/>
        <v>00-04</v>
      </c>
      <c r="C20" s="300">
        <f>C3</f>
        <v>0</v>
      </c>
      <c r="D20" s="300">
        <f>D3</f>
        <v>0</v>
      </c>
      <c r="E20" s="300">
        <f>E3</f>
        <v>0</v>
      </c>
      <c r="F20" s="300">
        <f>F3</f>
        <v>0</v>
      </c>
      <c r="G20" s="300">
        <f>G3</f>
        <v>0</v>
      </c>
      <c r="K20"/>
      <c r="M20"/>
      <c r="N20"/>
    </row>
    <row r="21" spans="1:14" x14ac:dyDescent="0.35">
      <c r="A21" s="102"/>
      <c r="B21" s="102" t="str">
        <f t="shared" si="0"/>
        <v>05-14</v>
      </c>
      <c r="C21" s="300">
        <f t="shared" si="0"/>
        <v>0</v>
      </c>
      <c r="D21" s="300">
        <f t="shared" si="0"/>
        <v>0</v>
      </c>
      <c r="E21" s="300">
        <f t="shared" si="0"/>
        <v>0</v>
      </c>
      <c r="F21" s="300">
        <f t="shared" si="0"/>
        <v>0</v>
      </c>
      <c r="G21" s="300">
        <f t="shared" si="0"/>
        <v>0</v>
      </c>
      <c r="K21"/>
      <c r="M21"/>
      <c r="N21"/>
    </row>
    <row r="22" spans="1:14" x14ac:dyDescent="0.35">
      <c r="A22" s="102"/>
      <c r="B22" s="102" t="str">
        <f t="shared" si="0"/>
        <v>15-29</v>
      </c>
      <c r="C22" s="300">
        <f t="shared" si="0"/>
        <v>57.8</v>
      </c>
      <c r="D22" s="300">
        <f t="shared" si="0"/>
        <v>41</v>
      </c>
      <c r="E22" s="300">
        <f t="shared" si="0"/>
        <v>45.5</v>
      </c>
      <c r="F22" s="300">
        <f t="shared" si="0"/>
        <v>37.924999999999997</v>
      </c>
      <c r="G22" s="300">
        <f t="shared" si="0"/>
        <v>41</v>
      </c>
      <c r="K22"/>
      <c r="M22"/>
      <c r="N22"/>
    </row>
    <row r="23" spans="1:14" x14ac:dyDescent="0.35">
      <c r="A23" s="102"/>
      <c r="B23" s="102" t="str">
        <f t="shared" si="0"/>
        <v>30-44</v>
      </c>
      <c r="C23" s="300">
        <f t="shared" si="0"/>
        <v>51.25</v>
      </c>
      <c r="D23" s="300">
        <f t="shared" si="0"/>
        <v>51.25</v>
      </c>
      <c r="E23" s="300">
        <f t="shared" si="0"/>
        <v>64.75</v>
      </c>
      <c r="F23" s="300">
        <f t="shared" si="0"/>
        <v>46.125</v>
      </c>
      <c r="G23" s="300">
        <f t="shared" si="0"/>
        <v>44.8</v>
      </c>
      <c r="K23"/>
      <c r="M23"/>
      <c r="N23"/>
    </row>
    <row r="24" spans="1:14" x14ac:dyDescent="0.35">
      <c r="A24" s="102"/>
      <c r="B24" s="102" t="str">
        <f t="shared" si="0"/>
        <v>45-59</v>
      </c>
      <c r="C24" s="300">
        <f t="shared" si="0"/>
        <v>58.274999999999999</v>
      </c>
      <c r="D24" s="300">
        <f t="shared" si="0"/>
        <v>61.5</v>
      </c>
      <c r="E24" s="300">
        <f t="shared" si="0"/>
        <v>53.725000000000001</v>
      </c>
      <c r="F24" s="300">
        <f t="shared" si="0"/>
        <v>52.2</v>
      </c>
      <c r="G24" s="300">
        <f t="shared" si="0"/>
        <v>46.7</v>
      </c>
      <c r="K24"/>
      <c r="M24"/>
      <c r="N24"/>
    </row>
    <row r="25" spans="1:14" x14ac:dyDescent="0.35">
      <c r="A25" s="102"/>
      <c r="B25" s="102" t="str">
        <f t="shared" si="0"/>
        <v>60-69</v>
      </c>
      <c r="C25" s="300">
        <f t="shared" si="0"/>
        <v>41</v>
      </c>
      <c r="D25" s="300">
        <f t="shared" si="0"/>
        <v>31.25</v>
      </c>
      <c r="E25" s="300">
        <f t="shared" si="0"/>
        <v>44.0833333333333</v>
      </c>
      <c r="F25" s="300">
        <f t="shared" si="0"/>
        <v>42.5</v>
      </c>
      <c r="G25" s="300">
        <f t="shared" si="0"/>
        <v>32.799999999999997</v>
      </c>
      <c r="K25"/>
      <c r="M25"/>
      <c r="N25"/>
    </row>
    <row r="26" spans="1:14" x14ac:dyDescent="0.35">
      <c r="A26" s="102"/>
      <c r="B26" s="102" t="str">
        <f t="shared" si="0"/>
        <v>70-79</v>
      </c>
      <c r="C26" s="300">
        <f t="shared" si="0"/>
        <v>4.375</v>
      </c>
      <c r="D26" s="300">
        <f t="shared" si="0"/>
        <v>5</v>
      </c>
      <c r="E26" s="300">
        <f t="shared" si="0"/>
        <v>8.3333333333333304</v>
      </c>
      <c r="F26" s="300">
        <f t="shared" si="0"/>
        <v>3.75</v>
      </c>
      <c r="G26" s="300">
        <f t="shared" si="0"/>
        <v>13.125</v>
      </c>
      <c r="K26"/>
      <c r="M26"/>
      <c r="N26"/>
    </row>
    <row r="27" spans="1:14" x14ac:dyDescent="0.35">
      <c r="A27" s="102"/>
      <c r="B27" s="102" t="str">
        <f t="shared" si="0"/>
        <v>80+</v>
      </c>
      <c r="C27" s="300">
        <f t="shared" si="0"/>
        <v>0</v>
      </c>
      <c r="D27" s="300">
        <f t="shared" si="0"/>
        <v>10</v>
      </c>
      <c r="E27" s="300">
        <f t="shared" si="0"/>
        <v>3.75</v>
      </c>
      <c r="F27" s="300">
        <f t="shared" si="0"/>
        <v>5.2083333333333304</v>
      </c>
      <c r="G27" s="300">
        <f t="shared" si="0"/>
        <v>0</v>
      </c>
      <c r="K27"/>
      <c r="M27"/>
      <c r="N27"/>
    </row>
    <row r="28" spans="1:14" x14ac:dyDescent="0.35">
      <c r="A28" s="102" t="str">
        <f t="shared" si="0"/>
        <v>women</v>
      </c>
      <c r="B28" s="102" t="str">
        <f t="shared" si="0"/>
        <v>00-04</v>
      </c>
      <c r="C28" s="300">
        <f t="shared" si="0"/>
        <v>0</v>
      </c>
      <c r="D28" s="300">
        <f t="shared" si="0"/>
        <v>0</v>
      </c>
      <c r="E28" s="300">
        <f t="shared" si="0"/>
        <v>0</v>
      </c>
      <c r="F28" s="300">
        <f t="shared" si="0"/>
        <v>0</v>
      </c>
      <c r="G28" s="300">
        <f t="shared" si="0"/>
        <v>0</v>
      </c>
      <c r="K28"/>
    </row>
    <row r="29" spans="1:14" x14ac:dyDescent="0.35">
      <c r="A29" s="102"/>
      <c r="B29" s="102" t="str">
        <f t="shared" si="0"/>
        <v>05-14</v>
      </c>
      <c r="C29" s="300">
        <f t="shared" si="0"/>
        <v>0</v>
      </c>
      <c r="D29" s="300">
        <f t="shared" si="0"/>
        <v>0</v>
      </c>
      <c r="E29" s="300">
        <f t="shared" si="0"/>
        <v>0</v>
      </c>
      <c r="F29" s="300">
        <f t="shared" si="0"/>
        <v>0</v>
      </c>
      <c r="G29" s="300">
        <f t="shared" si="0"/>
        <v>0</v>
      </c>
      <c r="K29"/>
    </row>
    <row r="30" spans="1:14" x14ac:dyDescent="0.35">
      <c r="A30" s="102"/>
      <c r="B30" s="102" t="str">
        <f t="shared" ref="B30:B35" si="1">B13</f>
        <v>15-29</v>
      </c>
      <c r="C30" s="300">
        <f t="shared" si="0"/>
        <v>8.8666666666666707</v>
      </c>
      <c r="D30" s="300">
        <f t="shared" si="0"/>
        <v>24.6</v>
      </c>
      <c r="E30" s="300">
        <f t="shared" si="0"/>
        <v>29.85</v>
      </c>
      <c r="F30" s="300">
        <f t="shared" si="0"/>
        <v>30.4</v>
      </c>
      <c r="G30" s="300">
        <f t="shared" si="0"/>
        <v>41</v>
      </c>
      <c r="K30"/>
    </row>
    <row r="31" spans="1:14" x14ac:dyDescent="0.35">
      <c r="A31" s="102"/>
      <c r="B31" s="102" t="str">
        <f t="shared" si="1"/>
        <v>30-44</v>
      </c>
      <c r="C31" s="300">
        <f t="shared" si="0"/>
        <v>41</v>
      </c>
      <c r="D31" s="300">
        <f t="shared" si="0"/>
        <v>35.875</v>
      </c>
      <c r="E31" s="300">
        <f t="shared" si="0"/>
        <v>38.85</v>
      </c>
      <c r="F31" s="300">
        <f t="shared" si="0"/>
        <v>41</v>
      </c>
      <c r="G31" s="300">
        <f t="shared" si="0"/>
        <v>42.266666666666701</v>
      </c>
      <c r="K31"/>
    </row>
    <row r="32" spans="1:14" x14ac:dyDescent="0.35">
      <c r="A32" s="102"/>
      <c r="B32" s="102" t="str">
        <f t="shared" si="1"/>
        <v>45-59</v>
      </c>
      <c r="C32" s="300">
        <f t="shared" si="0"/>
        <v>41.65</v>
      </c>
      <c r="D32" s="300">
        <f t="shared" si="0"/>
        <v>43.05</v>
      </c>
      <c r="E32" s="300">
        <f t="shared" si="0"/>
        <v>46.066666666666698</v>
      </c>
      <c r="F32" s="300">
        <f t="shared" si="0"/>
        <v>41</v>
      </c>
      <c r="G32" s="300">
        <f t="shared" si="0"/>
        <v>41</v>
      </c>
      <c r="K32"/>
    </row>
    <row r="33" spans="1:11" x14ac:dyDescent="0.35">
      <c r="A33" s="102"/>
      <c r="B33" s="102" t="str">
        <f t="shared" si="1"/>
        <v>60-69</v>
      </c>
      <c r="C33" s="300">
        <f t="shared" si="0"/>
        <v>32.799999999999997</v>
      </c>
      <c r="D33" s="300">
        <f t="shared" si="0"/>
        <v>18</v>
      </c>
      <c r="E33" s="300">
        <f t="shared" si="0"/>
        <v>31.75</v>
      </c>
      <c r="F33" s="300">
        <f t="shared" si="0"/>
        <v>20.5</v>
      </c>
      <c r="G33" s="300">
        <f t="shared" si="0"/>
        <v>4.5</v>
      </c>
      <c r="K33"/>
    </row>
    <row r="34" spans="1:11" x14ac:dyDescent="0.35">
      <c r="A34" s="102"/>
      <c r="B34" s="102" t="str">
        <f t="shared" si="1"/>
        <v>70-79</v>
      </c>
      <c r="C34" s="300">
        <f t="shared" si="0"/>
        <v>5.8333333333333304</v>
      </c>
      <c r="D34" s="300">
        <f t="shared" si="0"/>
        <v>5</v>
      </c>
      <c r="E34" s="300">
        <f t="shared" si="0"/>
        <v>2.5</v>
      </c>
      <c r="F34" s="300">
        <f t="shared" si="0"/>
        <v>3.75</v>
      </c>
      <c r="G34" s="300">
        <f t="shared" si="0"/>
        <v>0</v>
      </c>
      <c r="K34"/>
    </row>
    <row r="35" spans="1:11" x14ac:dyDescent="0.35">
      <c r="A35" s="102"/>
      <c r="B35" s="102" t="str">
        <f t="shared" si="1"/>
        <v>80+</v>
      </c>
      <c r="C35" s="300">
        <f t="shared" si="0"/>
        <v>6.5</v>
      </c>
      <c r="D35" s="300">
        <f t="shared" si="0"/>
        <v>3.125</v>
      </c>
      <c r="E35" s="300">
        <f t="shared" si="0"/>
        <v>0.83333333333333304</v>
      </c>
      <c r="F35" s="300">
        <f t="shared" si="0"/>
        <v>0</v>
      </c>
      <c r="G35" s="300">
        <f t="shared" si="0"/>
        <v>0</v>
      </c>
      <c r="K35"/>
    </row>
    <row r="36" spans="1:11" x14ac:dyDescent="0.35">
      <c r="K36"/>
    </row>
    <row r="37" spans="1:11" x14ac:dyDescent="0.35">
      <c r="K37"/>
    </row>
    <row r="38" spans="1:11" x14ac:dyDescent="0.35">
      <c r="K38"/>
    </row>
    <row r="39" spans="1:11" x14ac:dyDescent="0.35">
      <c r="K39"/>
    </row>
    <row r="40" spans="1:11" x14ac:dyDescent="0.35">
      <c r="K40"/>
    </row>
    <row r="41" spans="1:11" x14ac:dyDescent="0.35">
      <c r="K41"/>
    </row>
    <row r="42" spans="1:11" x14ac:dyDescent="0.35">
      <c r="K42"/>
    </row>
    <row r="43" spans="1:11" x14ac:dyDescent="0.35">
      <c r="K43"/>
    </row>
    <row r="44" spans="1:11" x14ac:dyDescent="0.35">
      <c r="K44"/>
    </row>
    <row r="45" spans="1:11" x14ac:dyDescent="0.35">
      <c r="K45"/>
    </row>
  </sheetData>
  <mergeCells count="1">
    <mergeCell ref="B1:G1"/>
  </mergeCell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08"/>
  <sheetViews>
    <sheetView zoomScale="70" zoomScaleNormal="70" zoomScalePageLayoutView="70" workbookViewId="0">
      <pane ySplit="5" topLeftCell="A2858" activePane="bottomLeft" state="frozen"/>
      <selection pane="bottomLeft" activeCell="D3" sqref="D3"/>
    </sheetView>
  </sheetViews>
  <sheetFormatPr defaultColWidth="9.1796875" defaultRowHeight="12.5" x14ac:dyDescent="0.25"/>
  <cols>
    <col min="1" max="1" width="27.1796875" style="1" bestFit="1" customWidth="1"/>
    <col min="2" max="2" width="13.453125" style="1" customWidth="1"/>
    <col min="3" max="3" width="13" style="1" customWidth="1"/>
    <col min="4" max="4" width="14.7265625" style="1" customWidth="1"/>
    <col min="5" max="5" width="17.81640625" style="1" customWidth="1"/>
    <col min="6" max="6" width="17.453125" style="1" customWidth="1"/>
    <col min="7" max="7" width="17.453125" style="1" bestFit="1" customWidth="1"/>
    <col min="8" max="8" width="12.26953125" style="1" customWidth="1"/>
    <col min="9" max="9" width="14.26953125" style="1" customWidth="1"/>
    <col min="10" max="10" width="16.453125" style="3" customWidth="1"/>
    <col min="11" max="16384" width="9.1796875" style="1"/>
  </cols>
  <sheetData>
    <row r="1" spans="1:11" ht="28.5" customHeight="1" x14ac:dyDescent="0.7">
      <c r="A1" s="2" t="s">
        <v>11</v>
      </c>
    </row>
    <row r="2" spans="1:11" ht="18.5" x14ac:dyDescent="0.45">
      <c r="A2" s="9" t="s">
        <v>85</v>
      </c>
      <c r="B2" s="9" t="s">
        <v>86</v>
      </c>
      <c r="C2" s="9" t="s">
        <v>0</v>
      </c>
      <c r="D2" s="9" t="s">
        <v>15</v>
      </c>
      <c r="E2" s="4" t="s">
        <v>173</v>
      </c>
      <c r="F2" s="4"/>
      <c r="G2" s="4"/>
      <c r="H2" s="4"/>
      <c r="I2" s="4"/>
      <c r="J2" s="1"/>
      <c r="K2" s="3"/>
    </row>
    <row r="3" spans="1:11" ht="18.75" customHeight="1" x14ac:dyDescent="0.45">
      <c r="A3" s="9">
        <f>LN(D3)-(1/2*(LN(1+(C3/D3)^2)))</f>
        <v>3.1292682894055526</v>
      </c>
      <c r="B3" s="9">
        <f>SQRT((LN(1+(C3/D3)^2)))</f>
        <v>1.1477946518664963</v>
      </c>
      <c r="C3" s="9">
        <f>Scenario!C17*Scenario!C20</f>
        <v>73.027422033480306</v>
      </c>
      <c r="D3" s="9">
        <f>Scenario!C17</f>
        <v>44.167294459398988</v>
      </c>
      <c r="E3" s="301">
        <f>'user page'!C33</f>
        <v>4441600</v>
      </c>
      <c r="F3" s="6"/>
      <c r="G3" s="6"/>
      <c r="H3" s="6"/>
      <c r="I3" s="6"/>
      <c r="J3" s="1"/>
      <c r="K3" s="3"/>
    </row>
    <row r="4" spans="1:11" ht="13.5" customHeight="1" x14ac:dyDescent="0.55000000000000004">
      <c r="A4" s="5"/>
      <c r="B4" s="6"/>
      <c r="C4" s="6"/>
      <c r="D4" s="6"/>
      <c r="E4" s="6"/>
    </row>
    <row r="5" spans="1:11" ht="20.5" x14ac:dyDescent="0.55000000000000004">
      <c r="A5" s="7" t="s">
        <v>12</v>
      </c>
      <c r="B5" s="4" t="s">
        <v>1</v>
      </c>
      <c r="C5" s="4" t="s">
        <v>13</v>
      </c>
      <c r="D5" s="8"/>
      <c r="E5" s="8"/>
      <c r="F5" s="8"/>
      <c r="G5" s="8"/>
      <c r="H5" s="4"/>
    </row>
    <row r="6" spans="1:11" ht="18.5" x14ac:dyDescent="0.45">
      <c r="A6" s="7">
        <v>0</v>
      </c>
      <c r="B6" s="4">
        <v>0</v>
      </c>
      <c r="C6" s="4">
        <v>0</v>
      </c>
      <c r="D6" s="8">
        <f>C6</f>
        <v>0</v>
      </c>
      <c r="E6" s="8">
        <f>A6/7</f>
        <v>0</v>
      </c>
      <c r="F6" s="8"/>
      <c r="G6" s="8"/>
      <c r="H6" s="4"/>
    </row>
    <row r="7" spans="1:11" ht="18.5" x14ac:dyDescent="0.45">
      <c r="A7" s="3">
        <v>1</v>
      </c>
      <c r="B7" s="9">
        <f>LOGNORMDIST(A7,$A$3,$B$3)</f>
        <v>3.2021357092865059E-3</v>
      </c>
      <c r="C7" s="3">
        <f>$E$3*B7</f>
        <v>14222.605966366944</v>
      </c>
      <c r="D7" s="3">
        <f>C7-C6</f>
        <v>14222.605966366944</v>
      </c>
      <c r="E7" s="8">
        <f t="shared" ref="E7:E70" si="0">A7/7</f>
        <v>0.14285714285714285</v>
      </c>
      <c r="F7" s="3"/>
      <c r="G7" s="3"/>
      <c r="H7" s="3"/>
    </row>
    <row r="8" spans="1:11" ht="18.5" x14ac:dyDescent="0.45">
      <c r="A8" s="3">
        <v>2</v>
      </c>
      <c r="B8" s="9">
        <f t="shared" ref="B8:B71" si="1">LOGNORMDIST(A8,$A$3,$B$3)</f>
        <v>1.6900555569496396E-2</v>
      </c>
      <c r="C8" s="3">
        <f t="shared" ref="C8:C71" si="2">$E$3*B8</f>
        <v>75065.507617475188</v>
      </c>
      <c r="D8" s="3">
        <f t="shared" ref="D8:D71" si="3">C8-C7</f>
        <v>60842.901651108245</v>
      </c>
      <c r="E8" s="8">
        <f t="shared" si="0"/>
        <v>0.2857142857142857</v>
      </c>
      <c r="F8" s="3"/>
      <c r="G8" s="3"/>
      <c r="H8" s="3"/>
    </row>
    <row r="9" spans="1:11" ht="18.5" x14ac:dyDescent="0.45">
      <c r="A9" s="3">
        <v>3</v>
      </c>
      <c r="B9" s="9">
        <f t="shared" si="1"/>
        <v>3.8431872498455907E-2</v>
      </c>
      <c r="C9" s="3">
        <f t="shared" si="2"/>
        <v>170699.00488914177</v>
      </c>
      <c r="D9" s="3">
        <f t="shared" si="3"/>
        <v>95633.49727166658</v>
      </c>
      <c r="E9" s="8">
        <f t="shared" si="0"/>
        <v>0.42857142857142855</v>
      </c>
      <c r="F9" s="3"/>
      <c r="G9" s="3"/>
      <c r="H9" s="3"/>
    </row>
    <row r="10" spans="1:11" ht="18.5" x14ac:dyDescent="0.45">
      <c r="A10" s="3">
        <v>4</v>
      </c>
      <c r="B10" s="9">
        <f t="shared" si="1"/>
        <v>6.4438960214847615E-2</v>
      </c>
      <c r="C10" s="3">
        <f t="shared" si="2"/>
        <v>286212.08569026715</v>
      </c>
      <c r="D10" s="3">
        <f t="shared" si="3"/>
        <v>115513.08080112538</v>
      </c>
      <c r="E10" s="8">
        <f t="shared" si="0"/>
        <v>0.5714285714285714</v>
      </c>
      <c r="F10" s="3"/>
      <c r="G10" s="3"/>
      <c r="H10" s="3"/>
    </row>
    <row r="11" spans="1:11" ht="18.5" x14ac:dyDescent="0.45">
      <c r="A11" s="3">
        <v>5</v>
      </c>
      <c r="B11" s="9">
        <f t="shared" si="1"/>
        <v>9.2729785755182259E-2</v>
      </c>
      <c r="C11" s="3">
        <f t="shared" si="2"/>
        <v>411868.61641021754</v>
      </c>
      <c r="D11" s="3">
        <f t="shared" si="3"/>
        <v>125656.53071995039</v>
      </c>
      <c r="E11" s="8">
        <f t="shared" si="0"/>
        <v>0.7142857142857143</v>
      </c>
      <c r="F11" s="3"/>
      <c r="G11" s="3"/>
      <c r="H11" s="3"/>
    </row>
    <row r="12" spans="1:11" ht="18.5" x14ac:dyDescent="0.45">
      <c r="A12" s="3">
        <v>6</v>
      </c>
      <c r="B12" s="9">
        <f t="shared" si="1"/>
        <v>0.12195166059389617</v>
      </c>
      <c r="C12" s="3">
        <f t="shared" si="2"/>
        <v>541660.49569384928</v>
      </c>
      <c r="D12" s="3">
        <f t="shared" si="3"/>
        <v>129791.87928363174</v>
      </c>
      <c r="E12" s="8">
        <f t="shared" si="0"/>
        <v>0.8571428571428571</v>
      </c>
      <c r="F12" s="3"/>
      <c r="G12" s="3"/>
      <c r="H12" s="3"/>
    </row>
    <row r="13" spans="1:11" ht="18.5" x14ac:dyDescent="0.45">
      <c r="A13" s="3">
        <v>7</v>
      </c>
      <c r="B13" s="9">
        <f t="shared" si="1"/>
        <v>0.15127411674665669</v>
      </c>
      <c r="C13" s="3">
        <f t="shared" si="2"/>
        <v>671899.1169419504</v>
      </c>
      <c r="D13" s="3">
        <f t="shared" si="3"/>
        <v>130238.62124810112</v>
      </c>
      <c r="E13" s="8">
        <f t="shared" si="0"/>
        <v>1</v>
      </c>
      <c r="F13" s="3"/>
      <c r="G13" s="3"/>
      <c r="H13" s="3"/>
    </row>
    <row r="14" spans="1:11" ht="18.5" x14ac:dyDescent="0.45">
      <c r="A14" s="3">
        <v>8</v>
      </c>
      <c r="B14" s="9">
        <f t="shared" si="1"/>
        <v>0.18018853101630261</v>
      </c>
      <c r="C14" s="3">
        <f t="shared" si="2"/>
        <v>800325.3793620097</v>
      </c>
      <c r="D14" s="3">
        <f t="shared" si="3"/>
        <v>128426.2624200593</v>
      </c>
      <c r="E14" s="8">
        <f t="shared" si="0"/>
        <v>1.1428571428571428</v>
      </c>
      <c r="F14" s="3"/>
      <c r="G14" s="3"/>
      <c r="H14" s="3"/>
    </row>
    <row r="15" spans="1:11" ht="18.5" x14ac:dyDescent="0.45">
      <c r="A15" s="3">
        <v>9</v>
      </c>
      <c r="B15" s="9">
        <f t="shared" si="1"/>
        <v>0.20838720352900328</v>
      </c>
      <c r="C15" s="3">
        <f t="shared" si="2"/>
        <v>925572.60319442092</v>
      </c>
      <c r="D15" s="3">
        <f t="shared" si="3"/>
        <v>125247.22383241123</v>
      </c>
      <c r="E15" s="8">
        <f t="shared" si="0"/>
        <v>1.2857142857142858</v>
      </c>
      <c r="F15" s="3"/>
      <c r="G15" s="3"/>
      <c r="H15" s="3"/>
    </row>
    <row r="16" spans="1:11" ht="18.5" x14ac:dyDescent="0.45">
      <c r="A16" s="3">
        <v>10</v>
      </c>
      <c r="B16" s="9">
        <f t="shared" si="1"/>
        <v>0.2356898061289851</v>
      </c>
      <c r="C16" s="3">
        <f t="shared" si="2"/>
        <v>1046839.8429025002</v>
      </c>
      <c r="D16" s="3">
        <f t="shared" si="3"/>
        <v>121267.23970807926</v>
      </c>
      <c r="E16" s="8">
        <f t="shared" si="0"/>
        <v>1.4285714285714286</v>
      </c>
      <c r="F16" s="3"/>
      <c r="G16" s="3"/>
      <c r="H16" s="3"/>
    </row>
    <row r="17" spans="1:8" ht="18.5" x14ac:dyDescent="0.45">
      <c r="A17" s="3">
        <v>11</v>
      </c>
      <c r="B17" s="9">
        <f t="shared" si="1"/>
        <v>0.26199778124638018</v>
      </c>
      <c r="C17" s="3">
        <f t="shared" si="2"/>
        <v>1163689.3451839222</v>
      </c>
      <c r="D17" s="3">
        <f t="shared" si="3"/>
        <v>116849.50228142203</v>
      </c>
      <c r="E17" s="8">
        <f t="shared" si="0"/>
        <v>1.5714285714285714</v>
      </c>
      <c r="F17" s="3"/>
      <c r="G17" s="3"/>
      <c r="H17" s="3"/>
    </row>
    <row r="18" spans="1:8" ht="18.5" x14ac:dyDescent="0.45">
      <c r="A18" s="3">
        <v>12</v>
      </c>
      <c r="B18" s="9">
        <f t="shared" si="1"/>
        <v>0.28726549352761499</v>
      </c>
      <c r="C18" s="3">
        <f t="shared" si="2"/>
        <v>1275918.4160522548</v>
      </c>
      <c r="D18" s="3">
        <f t="shared" si="3"/>
        <v>112229.07086833264</v>
      </c>
      <c r="E18" s="8">
        <f t="shared" si="0"/>
        <v>1.7142857142857142</v>
      </c>
      <c r="F18" s="3"/>
      <c r="G18" s="3"/>
      <c r="H18" s="3"/>
    </row>
    <row r="19" spans="1:8" ht="18.5" x14ac:dyDescent="0.45">
      <c r="A19" s="3">
        <v>13</v>
      </c>
      <c r="B19" s="9">
        <f t="shared" si="1"/>
        <v>0.31148164224388036</v>
      </c>
      <c r="C19" s="3">
        <f t="shared" si="2"/>
        <v>1383476.8621904191</v>
      </c>
      <c r="D19" s="3">
        <f t="shared" si="3"/>
        <v>107558.44613816426</v>
      </c>
      <c r="E19" s="8">
        <f t="shared" si="0"/>
        <v>1.8571428571428572</v>
      </c>
      <c r="F19" s="3"/>
      <c r="G19" s="3"/>
      <c r="H19" s="3"/>
    </row>
    <row r="20" spans="1:8" ht="18.5" x14ac:dyDescent="0.45">
      <c r="A20" s="3">
        <v>14</v>
      </c>
      <c r="B20" s="9">
        <f t="shared" si="1"/>
        <v>0.33465709693713364</v>
      </c>
      <c r="C20" s="3">
        <f t="shared" si="2"/>
        <v>1486412.9617559728</v>
      </c>
      <c r="D20" s="3">
        <f t="shared" si="3"/>
        <v>102936.09956555371</v>
      </c>
      <c r="E20" s="8">
        <f t="shared" si="0"/>
        <v>2</v>
      </c>
      <c r="F20" s="3"/>
      <c r="G20" s="3"/>
      <c r="H20" s="3"/>
    </row>
    <row r="21" spans="1:8" ht="18.5" x14ac:dyDescent="0.45">
      <c r="A21" s="3">
        <v>15</v>
      </c>
      <c r="B21" s="9">
        <f t="shared" si="1"/>
        <v>0.35681683599994429</v>
      </c>
      <c r="C21" s="3">
        <f t="shared" si="2"/>
        <v>1584837.6587773527</v>
      </c>
      <c r="D21" s="3">
        <f t="shared" si="3"/>
        <v>98424.697021379834</v>
      </c>
      <c r="E21" s="8">
        <f t="shared" si="0"/>
        <v>2.1428571428571428</v>
      </c>
      <c r="F21" s="3"/>
      <c r="G21" s="3"/>
      <c r="H21" s="3"/>
    </row>
    <row r="22" spans="1:8" ht="18.5" x14ac:dyDescent="0.45">
      <c r="A22" s="3">
        <v>16</v>
      </c>
      <c r="B22" s="9">
        <f t="shared" si="1"/>
        <v>0.37799455365429435</v>
      </c>
      <c r="C22" s="3">
        <f t="shared" si="2"/>
        <v>1678900.6095109137</v>
      </c>
      <c r="D22" s="3">
        <f t="shared" si="3"/>
        <v>94062.950733561069</v>
      </c>
      <c r="E22" s="8">
        <f t="shared" si="0"/>
        <v>2.2857142857142856</v>
      </c>
      <c r="F22" s="3"/>
      <c r="G22" s="3"/>
      <c r="H22" s="3"/>
    </row>
    <row r="23" spans="1:8" ht="18.5" x14ac:dyDescent="0.45">
      <c r="A23" s="3">
        <v>17</v>
      </c>
      <c r="B23" s="9">
        <f t="shared" si="1"/>
        <v>0.39822902983448843</v>
      </c>
      <c r="C23" s="3">
        <f t="shared" si="2"/>
        <v>1768774.0589128637</v>
      </c>
      <c r="D23" s="3">
        <f t="shared" si="3"/>
        <v>89873.449401949998</v>
      </c>
      <c r="E23" s="8">
        <f t="shared" si="0"/>
        <v>2.4285714285714284</v>
      </c>
      <c r="F23" s="3"/>
      <c r="G23" s="3"/>
      <c r="H23" s="3"/>
    </row>
    <row r="24" spans="1:8" ht="18.5" x14ac:dyDescent="0.45">
      <c r="A24" s="3">
        <v>18</v>
      </c>
      <c r="B24" s="9">
        <f t="shared" si="1"/>
        <v>0.41756168054222176</v>
      </c>
      <c r="C24" s="3">
        <f t="shared" si="2"/>
        <v>1854641.9602963321</v>
      </c>
      <c r="D24" s="3">
        <f t="shared" si="3"/>
        <v>85867.901383468416</v>
      </c>
      <c r="E24" s="8">
        <f t="shared" si="0"/>
        <v>2.5714285714285716</v>
      </c>
      <c r="F24" s="3"/>
      <c r="G24" s="3"/>
      <c r="H24" s="3"/>
    </row>
    <row r="25" spans="1:8" ht="18.5" x14ac:dyDescent="0.45">
      <c r="A25" s="3">
        <v>19</v>
      </c>
      <c r="B25" s="9">
        <f t="shared" si="1"/>
        <v>0.43603490765538694</v>
      </c>
      <c r="C25" s="3">
        <f t="shared" si="2"/>
        <v>1936692.6458421666</v>
      </c>
      <c r="D25" s="3">
        <f t="shared" si="3"/>
        <v>82050.68554583448</v>
      </c>
      <c r="E25" s="8">
        <f t="shared" si="0"/>
        <v>2.7142857142857144</v>
      </c>
      <c r="F25" s="3"/>
      <c r="G25" s="3"/>
      <c r="H25" s="3"/>
    </row>
    <row r="26" spans="1:8" ht="18.5" x14ac:dyDescent="0.45">
      <c r="A26" s="3">
        <v>20</v>
      </c>
      <c r="B26" s="9">
        <f t="shared" si="1"/>
        <v>0.45369099515658601</v>
      </c>
      <c r="C26" s="3">
        <f t="shared" si="2"/>
        <v>2015113.9240874925</v>
      </c>
      <c r="D26" s="3">
        <f t="shared" si="3"/>
        <v>78421.278245325899</v>
      </c>
      <c r="E26" s="8">
        <f t="shared" si="0"/>
        <v>2.8571428571428572</v>
      </c>
      <c r="F26" s="3"/>
      <c r="G26" s="3"/>
      <c r="H26" s="3"/>
    </row>
    <row r="27" spans="1:8" ht="18.5" x14ac:dyDescent="0.45">
      <c r="A27" s="3">
        <v>21</v>
      </c>
      <c r="B27" s="9">
        <f t="shared" si="1"/>
        <v>0.47057138149366973</v>
      </c>
      <c r="C27" s="3">
        <f t="shared" si="2"/>
        <v>2090089.8480422834</v>
      </c>
      <c r="D27" s="3">
        <f t="shared" si="3"/>
        <v>74975.923954790924</v>
      </c>
      <c r="E27" s="8">
        <f t="shared" si="0"/>
        <v>3</v>
      </c>
      <c r="F27" s="3"/>
      <c r="G27" s="3"/>
      <c r="H27" s="3"/>
    </row>
    <row r="28" spans="1:8" ht="18.5" x14ac:dyDescent="0.45">
      <c r="A28" s="3">
        <v>22</v>
      </c>
      <c r="B28" s="9">
        <f t="shared" si="1"/>
        <v>0.48671619212893608</v>
      </c>
      <c r="C28" s="3">
        <f t="shared" si="2"/>
        <v>2161798.6389598823</v>
      </c>
      <c r="D28" s="3">
        <f t="shared" si="3"/>
        <v>71708.790917598875</v>
      </c>
      <c r="E28" s="8">
        <f t="shared" si="0"/>
        <v>3.1428571428571428</v>
      </c>
      <c r="F28" s="3"/>
      <c r="G28" s="3"/>
      <c r="H28" s="3"/>
    </row>
    <row r="29" spans="1:8" ht="18.5" x14ac:dyDescent="0.45">
      <c r="A29" s="3">
        <v>23</v>
      </c>
      <c r="B29" s="9">
        <f t="shared" si="1"/>
        <v>0.50216395253374602</v>
      </c>
      <c r="C29" s="3">
        <f t="shared" si="2"/>
        <v>2230411.4115738864</v>
      </c>
      <c r="D29" s="3">
        <f t="shared" si="3"/>
        <v>68612.77261400409</v>
      </c>
      <c r="E29" s="8">
        <f t="shared" si="0"/>
        <v>3.2857142857142856</v>
      </c>
      <c r="F29" s="3"/>
      <c r="G29" s="3"/>
      <c r="H29" s="3"/>
    </row>
    <row r="30" spans="1:8" ht="18.5" x14ac:dyDescent="0.45">
      <c r="A30" s="3">
        <v>24</v>
      </c>
      <c r="B30" s="9">
        <f t="shared" si="1"/>
        <v>0.51695142630852553</v>
      </c>
      <c r="C30" s="3">
        <f t="shared" si="2"/>
        <v>2296091.4550919472</v>
      </c>
      <c r="D30" s="3">
        <f t="shared" si="3"/>
        <v>65680.043518060818</v>
      </c>
      <c r="E30" s="8">
        <f t="shared" si="0"/>
        <v>3.4285714285714284</v>
      </c>
      <c r="F30" s="3"/>
      <c r="G30" s="3"/>
      <c r="H30" s="3"/>
    </row>
    <row r="31" spans="1:8" ht="18.5" x14ac:dyDescent="0.45">
      <c r="A31" s="3">
        <v>25</v>
      </c>
      <c r="B31" s="9">
        <f t="shared" si="1"/>
        <v>0.53111353977535081</v>
      </c>
      <c r="C31" s="3">
        <f t="shared" si="2"/>
        <v>2358993.8982661981</v>
      </c>
      <c r="D31" s="3">
        <f t="shared" si="3"/>
        <v>62902.44317425089</v>
      </c>
      <c r="E31" s="8">
        <f t="shared" si="0"/>
        <v>3.5714285714285716</v>
      </c>
      <c r="F31" s="3"/>
      <c r="G31" s="3"/>
      <c r="H31" s="3"/>
    </row>
    <row r="32" spans="1:8" ht="18.5" x14ac:dyDescent="0.45">
      <c r="A32" s="3">
        <v>26</v>
      </c>
      <c r="B32" s="9">
        <f t="shared" si="1"/>
        <v>0.54468336588143329</v>
      </c>
      <c r="C32" s="3">
        <f t="shared" si="2"/>
        <v>2419265.6378989741</v>
      </c>
      <c r="D32" s="3">
        <f t="shared" si="3"/>
        <v>60271.739632776007</v>
      </c>
      <c r="E32" s="8">
        <f t="shared" si="0"/>
        <v>3.7142857142857144</v>
      </c>
      <c r="F32" s="3"/>
      <c r="G32" s="3"/>
      <c r="H32" s="3"/>
    </row>
    <row r="33" spans="1:8" ht="18.5" x14ac:dyDescent="0.45">
      <c r="A33" s="3">
        <v>27</v>
      </c>
      <c r="B33" s="9">
        <f t="shared" si="1"/>
        <v>0.55769214824648172</v>
      </c>
      <c r="C33" s="3">
        <f t="shared" si="2"/>
        <v>2477045.4456515731</v>
      </c>
      <c r="D33" s="3">
        <f t="shared" si="3"/>
        <v>57779.807752599008</v>
      </c>
      <c r="E33" s="8">
        <f t="shared" si="0"/>
        <v>3.8571428571428572</v>
      </c>
      <c r="F33" s="3"/>
      <c r="G33" s="3"/>
      <c r="H33" s="3"/>
    </row>
    <row r="34" spans="1:8" ht="18.5" x14ac:dyDescent="0.45">
      <c r="A34" s="3">
        <v>28</v>
      </c>
      <c r="B34" s="9">
        <f t="shared" si="1"/>
        <v>0.57016935179357997</v>
      </c>
      <c r="C34" s="3">
        <f t="shared" si="2"/>
        <v>2532464.192926365</v>
      </c>
      <c r="D34" s="3">
        <f t="shared" si="3"/>
        <v>55418.747274791822</v>
      </c>
      <c r="E34" s="8">
        <f t="shared" si="0"/>
        <v>4</v>
      </c>
      <c r="F34" s="3"/>
      <c r="G34" s="3"/>
      <c r="H34" s="3"/>
    </row>
    <row r="35" spans="1:8" ht="18.5" x14ac:dyDescent="0.45">
      <c r="A35" s="3">
        <v>29</v>
      </c>
      <c r="B35" s="9">
        <f t="shared" si="1"/>
        <v>0.58214273036244768</v>
      </c>
      <c r="C35" s="3">
        <f t="shared" si="2"/>
        <v>2585645.1511778478</v>
      </c>
      <c r="D35" s="3">
        <f t="shared" si="3"/>
        <v>53180.958251482807</v>
      </c>
      <c r="E35" s="8">
        <f t="shared" si="0"/>
        <v>4.1428571428571432</v>
      </c>
      <c r="F35" s="3"/>
      <c r="G35" s="3"/>
      <c r="H35" s="3"/>
    </row>
    <row r="36" spans="1:8" ht="18.5" x14ac:dyDescent="0.45">
      <c r="A36" s="3">
        <v>30</v>
      </c>
      <c r="B36" s="9">
        <f t="shared" si="1"/>
        <v>0.5936384045163221</v>
      </c>
      <c r="C36" s="3">
        <f t="shared" si="2"/>
        <v>2636704.3374996963</v>
      </c>
      <c r="D36" s="3">
        <f t="shared" si="3"/>
        <v>51059.186321848538</v>
      </c>
      <c r="E36" s="8">
        <f t="shared" si="0"/>
        <v>4.2857142857142856</v>
      </c>
      <c r="F36" s="3"/>
      <c r="G36" s="3"/>
      <c r="H36" s="3"/>
    </row>
    <row r="37" spans="1:8" ht="18.5" x14ac:dyDescent="0.45">
      <c r="A37" s="3">
        <v>31</v>
      </c>
      <c r="B37" s="9">
        <f t="shared" si="1"/>
        <v>0.60468094476105605</v>
      </c>
      <c r="C37" s="3">
        <f t="shared" si="2"/>
        <v>2685750.8842507065</v>
      </c>
      <c r="D37" s="3">
        <f t="shared" si="3"/>
        <v>49046.546751010232</v>
      </c>
      <c r="E37" s="8">
        <f t="shared" si="0"/>
        <v>4.4285714285714288</v>
      </c>
      <c r="F37" s="3"/>
      <c r="G37" s="3"/>
      <c r="H37" s="3"/>
    </row>
    <row r="38" spans="1:8" ht="18.5" x14ac:dyDescent="0.45">
      <c r="A38" s="3">
        <v>32</v>
      </c>
      <c r="B38" s="9">
        <f t="shared" si="1"/>
        <v>0.61529345683316028</v>
      </c>
      <c r="C38" s="3">
        <f t="shared" si="2"/>
        <v>2732887.4178701648</v>
      </c>
      <c r="D38" s="3">
        <f t="shared" si="3"/>
        <v>47136.533619458321</v>
      </c>
      <c r="E38" s="8">
        <f t="shared" si="0"/>
        <v>4.5714285714285712</v>
      </c>
      <c r="F38" s="3"/>
      <c r="G38" s="3"/>
      <c r="H38" s="3"/>
    </row>
    <row r="39" spans="1:8" ht="18.5" x14ac:dyDescent="0.45">
      <c r="A39" s="3">
        <v>33</v>
      </c>
      <c r="B39" s="9">
        <f t="shared" si="1"/>
        <v>0.62549766674649221</v>
      </c>
      <c r="C39" s="3">
        <f t="shared" si="2"/>
        <v>2778210.4366212199</v>
      </c>
      <c r="D39" s="3">
        <f t="shared" si="3"/>
        <v>45323.018751055002</v>
      </c>
      <c r="E39" s="8">
        <f t="shared" si="0"/>
        <v>4.7142857142857144</v>
      </c>
      <c r="F39" s="3"/>
      <c r="G39" s="3"/>
      <c r="H39" s="3"/>
    </row>
    <row r="40" spans="1:8" ht="18.5" x14ac:dyDescent="0.45">
      <c r="A40" s="3">
        <v>34</v>
      </c>
      <c r="B40" s="9">
        <f t="shared" si="1"/>
        <v>0.63531400403020721</v>
      </c>
      <c r="C40" s="3">
        <f t="shared" si="2"/>
        <v>2821810.6803005682</v>
      </c>
      <c r="D40" s="3">
        <f t="shared" si="3"/>
        <v>43600.243679348379</v>
      </c>
      <c r="E40" s="8">
        <f t="shared" si="0"/>
        <v>4.8571428571428568</v>
      </c>
      <c r="F40" s="3"/>
      <c r="G40" s="3"/>
      <c r="H40" s="3"/>
    </row>
    <row r="41" spans="1:8" ht="18.5" x14ac:dyDescent="0.45">
      <c r="A41" s="3">
        <v>35</v>
      </c>
      <c r="B41" s="9">
        <f t="shared" si="1"/>
        <v>0.64476168212480311</v>
      </c>
      <c r="C41" s="3">
        <f t="shared" si="2"/>
        <v>2863773.4873255254</v>
      </c>
      <c r="D41" s="3">
        <f t="shared" si="3"/>
        <v>41962.807024957146</v>
      </c>
      <c r="E41" s="8">
        <f t="shared" si="0"/>
        <v>5</v>
      </c>
      <c r="F41" s="3"/>
      <c r="G41" s="3"/>
      <c r="H41" s="3"/>
    </row>
    <row r="42" spans="1:8" ht="18.5" x14ac:dyDescent="0.45">
      <c r="A42" s="3">
        <v>36</v>
      </c>
      <c r="B42" s="9">
        <f t="shared" si="1"/>
        <v>0.65385877528652236</v>
      </c>
      <c r="C42" s="3">
        <f t="shared" si="2"/>
        <v>2904179.1363126179</v>
      </c>
      <c r="D42" s="3">
        <f t="shared" si="3"/>
        <v>40405.648987092543</v>
      </c>
      <c r="E42" s="8">
        <f t="shared" si="0"/>
        <v>5.1428571428571432</v>
      </c>
      <c r="F42" s="3"/>
      <c r="G42" s="3"/>
      <c r="H42" s="3"/>
    </row>
    <row r="43" spans="1:8" ht="18.5" x14ac:dyDescent="0.45">
      <c r="A43" s="3">
        <v>37</v>
      </c>
      <c r="B43" s="9">
        <f t="shared" si="1"/>
        <v>0.66262229162446407</v>
      </c>
      <c r="C43" s="3">
        <f t="shared" si="2"/>
        <v>2943103.1704792194</v>
      </c>
      <c r="D43" s="3">
        <f t="shared" si="3"/>
        <v>38924.034166601487</v>
      </c>
      <c r="E43" s="8">
        <f t="shared" si="0"/>
        <v>5.2857142857142856</v>
      </c>
      <c r="F43" s="3"/>
      <c r="G43" s="3"/>
      <c r="H43" s="3"/>
    </row>
    <row r="44" spans="1:8" ht="18.5" x14ac:dyDescent="0.45">
      <c r="A44" s="3">
        <v>38</v>
      </c>
      <c r="B44" s="9">
        <f t="shared" si="1"/>
        <v>0.67106824208940996</v>
      </c>
      <c r="C44" s="3">
        <f t="shared" si="2"/>
        <v>2980616.7040643231</v>
      </c>
      <c r="D44" s="3">
        <f t="shared" si="3"/>
        <v>37513.533585103694</v>
      </c>
      <c r="E44" s="8">
        <f t="shared" si="0"/>
        <v>5.4285714285714288</v>
      </c>
      <c r="F44" s="3"/>
      <c r="G44" s="3"/>
      <c r="H44" s="3"/>
    </row>
    <row r="45" spans="1:8" ht="18.5" x14ac:dyDescent="0.45">
      <c r="A45" s="3">
        <v>39</v>
      </c>
      <c r="B45" s="9">
        <f t="shared" si="1"/>
        <v>0.6792117053701493</v>
      </c>
      <c r="C45" s="3">
        <f t="shared" si="2"/>
        <v>3016786.7105720551</v>
      </c>
      <c r="D45" s="3">
        <f t="shared" si="3"/>
        <v>36170.006507731974</v>
      </c>
      <c r="E45" s="8">
        <f t="shared" si="0"/>
        <v>5.5714285714285712</v>
      </c>
      <c r="F45" s="3"/>
      <c r="G45" s="3"/>
      <c r="H45" s="3"/>
    </row>
    <row r="46" spans="1:8" ht="18.5" x14ac:dyDescent="0.45">
      <c r="A46" s="3">
        <v>40</v>
      </c>
      <c r="B46" s="9">
        <f t="shared" si="1"/>
        <v>0.68706688874774702</v>
      </c>
      <c r="C46" s="3">
        <f t="shared" si="2"/>
        <v>3051676.2930619931</v>
      </c>
      <c r="D46" s="3">
        <f t="shared" si="3"/>
        <v>34889.58248993801</v>
      </c>
      <c r="E46" s="8">
        <f t="shared" si="0"/>
        <v>5.7142857142857144</v>
      </c>
      <c r="F46" s="3"/>
      <c r="G46" s="3"/>
      <c r="H46" s="3"/>
    </row>
    <row r="47" spans="1:8" ht="18.5" x14ac:dyDescent="0.45">
      <c r="A47" s="3">
        <v>41</v>
      </c>
      <c r="B47" s="9">
        <f t="shared" si="1"/>
        <v>0.69464718502217759</v>
      </c>
      <c r="C47" s="3">
        <f t="shared" si="2"/>
        <v>3085344.9369945042</v>
      </c>
      <c r="D47" s="3">
        <f t="shared" si="3"/>
        <v>33668.643932511099</v>
      </c>
      <c r="E47" s="8">
        <f t="shared" si="0"/>
        <v>5.8571428571428568</v>
      </c>
      <c r="F47" s="3"/>
      <c r="G47" s="3"/>
      <c r="H47" s="3"/>
    </row>
    <row r="48" spans="1:8" ht="18.5" x14ac:dyDescent="0.45">
      <c r="A48" s="3">
        <v>42</v>
      </c>
      <c r="B48" s="9">
        <f t="shared" si="1"/>
        <v>0.70196522566745267</v>
      </c>
      <c r="C48" s="3">
        <f t="shared" si="2"/>
        <v>3117848.7463245578</v>
      </c>
      <c r="D48" s="3">
        <f t="shared" si="3"/>
        <v>32503.809330053627</v>
      </c>
      <c r="E48" s="8">
        <f t="shared" si="0"/>
        <v>6</v>
      </c>
      <c r="F48" s="3"/>
      <c r="G48" s="3"/>
      <c r="H48" s="3"/>
    </row>
    <row r="49" spans="1:8" ht="18.5" x14ac:dyDescent="0.45">
      <c r="A49" s="3">
        <v>43</v>
      </c>
      <c r="B49" s="9">
        <f t="shared" si="1"/>
        <v>0.70903293039694992</v>
      </c>
      <c r="C49" s="3">
        <f t="shared" si="2"/>
        <v>3149240.6636510929</v>
      </c>
      <c r="D49" s="3">
        <f t="shared" si="3"/>
        <v>31391.917326535098</v>
      </c>
      <c r="E49" s="8">
        <f t="shared" si="0"/>
        <v>6.1428571428571432</v>
      </c>
      <c r="F49" s="3"/>
      <c r="G49" s="3"/>
      <c r="H49" s="3"/>
    </row>
    <row r="50" spans="1:8" ht="18.5" x14ac:dyDescent="0.45">
      <c r="A50" s="3">
        <v>44</v>
      </c>
      <c r="B50" s="9">
        <f t="shared" si="1"/>
        <v>0.71586155333463153</v>
      </c>
      <c r="C50" s="3">
        <f t="shared" si="2"/>
        <v>3179570.6752910996</v>
      </c>
      <c r="D50" s="3">
        <f t="shared" si="3"/>
        <v>30330.011640006676</v>
      </c>
      <c r="E50" s="8">
        <f t="shared" si="0"/>
        <v>6.2857142857142856</v>
      </c>
      <c r="F50" s="3"/>
      <c r="G50" s="3"/>
      <c r="H50" s="3"/>
    </row>
    <row r="51" spans="1:8" ht="18.5" x14ac:dyDescent="0.45">
      <c r="A51" s="3">
        <v>45</v>
      </c>
      <c r="B51" s="9">
        <f t="shared" si="1"/>
        <v>0.72246172599356828</v>
      </c>
      <c r="C51" s="3">
        <f t="shared" si="2"/>
        <v>3208886.0021730331</v>
      </c>
      <c r="D51" s="3">
        <f t="shared" si="3"/>
        <v>29315.326881933492</v>
      </c>
      <c r="E51" s="8">
        <f t="shared" si="0"/>
        <v>6.4285714285714288</v>
      </c>
      <c r="F51" s="3"/>
      <c r="G51" s="3"/>
      <c r="H51" s="3"/>
    </row>
    <row r="52" spans="1:8" ht="18.5" x14ac:dyDescent="0.45">
      <c r="A52" s="3">
        <v>46</v>
      </c>
      <c r="B52" s="9">
        <f t="shared" si="1"/>
        <v>0.72884349726308884</v>
      </c>
      <c r="C52" s="3">
        <f t="shared" si="2"/>
        <v>3237231.2774437354</v>
      </c>
      <c r="D52" s="3">
        <f t="shared" si="3"/>
        <v>28345.275270702317</v>
      </c>
      <c r="E52" s="8">
        <f t="shared" si="0"/>
        <v>6.5714285714285712</v>
      </c>
      <c r="F52" s="3"/>
      <c r="G52" s="3"/>
      <c r="H52" s="3"/>
    </row>
    <row r="53" spans="1:8" ht="18.5" x14ac:dyDescent="0.45">
      <c r="A53" s="3">
        <v>47</v>
      </c>
      <c r="B53" s="9">
        <f t="shared" si="1"/>
        <v>0.73501637060177005</v>
      </c>
      <c r="C53" s="3">
        <f t="shared" si="2"/>
        <v>3264648.711664822</v>
      </c>
      <c r="D53" s="3">
        <f t="shared" si="3"/>
        <v>27417.434221086558</v>
      </c>
      <c r="E53" s="8">
        <f t="shared" si="0"/>
        <v>6.7142857142857144</v>
      </c>
      <c r="F53" s="3"/>
      <c r="G53" s="3"/>
      <c r="H53" s="3"/>
    </row>
    <row r="54" spans="1:8" ht="18.5" x14ac:dyDescent="0.45">
      <c r="A54" s="3">
        <v>48</v>
      </c>
      <c r="B54" s="9">
        <f t="shared" si="1"/>
        <v>0.74098933862669869</v>
      </c>
      <c r="C54" s="3">
        <f t="shared" si="2"/>
        <v>3291178.246444345</v>
      </c>
      <c r="D54" s="3">
        <f t="shared" si="3"/>
        <v>26529.534779523034</v>
      </c>
      <c r="E54" s="8">
        <f t="shared" si="0"/>
        <v>6.8571428571428568</v>
      </c>
      <c r="F54" s="3"/>
      <c r="G54" s="3"/>
      <c r="H54" s="3"/>
    </row>
    <row r="55" spans="1:8" ht="18.5" x14ac:dyDescent="0.45">
      <c r="A55" s="3">
        <v>49</v>
      </c>
      <c r="B55" s="9">
        <f t="shared" si="1"/>
        <v>0.74677091528090944</v>
      </c>
      <c r="C55" s="3">
        <f t="shared" si="2"/>
        <v>3316857.6973116873</v>
      </c>
      <c r="D55" s="3">
        <f t="shared" si="3"/>
        <v>25679.450867342297</v>
      </c>
      <c r="E55" s="8">
        <f t="shared" si="0"/>
        <v>7</v>
      </c>
      <c r="F55" s="3"/>
      <c r="G55" s="3"/>
      <c r="H55" s="3"/>
    </row>
    <row r="56" spans="1:8" ht="18.5" x14ac:dyDescent="0.45">
      <c r="A56" s="3">
        <v>50</v>
      </c>
      <c r="B56" s="9">
        <f t="shared" si="1"/>
        <v>0.75236916575138735</v>
      </c>
      <c r="C56" s="3">
        <f t="shared" si="2"/>
        <v>3341722.8866013619</v>
      </c>
      <c r="D56" s="3">
        <f t="shared" si="3"/>
        <v>24865.189289674629</v>
      </c>
      <c r="E56" s="8">
        <f t="shared" si="0"/>
        <v>7.1428571428571432</v>
      </c>
      <c r="F56" s="3"/>
      <c r="G56" s="3"/>
      <c r="H56" s="3"/>
    </row>
    <row r="57" spans="1:8" ht="18.5" x14ac:dyDescent="0.45">
      <c r="A57" s="3">
        <v>51</v>
      </c>
      <c r="B57" s="9">
        <f t="shared" si="1"/>
        <v>0.7577917342999585</v>
      </c>
      <c r="C57" s="3">
        <f t="shared" si="2"/>
        <v>3365807.7670666957</v>
      </c>
      <c r="D57" s="3">
        <f t="shared" si="3"/>
        <v>24084.880465333816</v>
      </c>
      <c r="E57" s="8">
        <f t="shared" si="0"/>
        <v>7.2857142857142856</v>
      </c>
      <c r="F57" s="3"/>
      <c r="G57" s="3"/>
      <c r="H57" s="3"/>
    </row>
    <row r="58" spans="1:8" ht="18.5" x14ac:dyDescent="0.45">
      <c r="A58" s="3">
        <v>52</v>
      </c>
      <c r="B58" s="9">
        <f t="shared" si="1"/>
        <v>0.76304587015921133</v>
      </c>
      <c r="C58" s="3">
        <f t="shared" si="2"/>
        <v>3389144.5368991531</v>
      </c>
      <c r="D58" s="3">
        <f t="shared" si="3"/>
        <v>23336.769832457416</v>
      </c>
      <c r="E58" s="8">
        <f t="shared" si="0"/>
        <v>7.4285714285714288</v>
      </c>
      <c r="F58" s="3"/>
      <c r="G58" s="3"/>
      <c r="H58" s="3"/>
    </row>
    <row r="59" spans="1:8" ht="18.5" x14ac:dyDescent="0.45">
      <c r="A59" s="3">
        <v>53</v>
      </c>
      <c r="B59" s="9">
        <f t="shared" si="1"/>
        <v>0.76813845163548322</v>
      </c>
      <c r="C59" s="3">
        <f t="shared" si="2"/>
        <v>3411763.7467841622</v>
      </c>
      <c r="D59" s="3">
        <f t="shared" si="3"/>
        <v>22619.209885009099</v>
      </c>
      <c r="E59" s="8">
        <f t="shared" si="0"/>
        <v>7.5714285714285712</v>
      </c>
      <c r="F59" s="3"/>
      <c r="G59" s="3"/>
      <c r="H59" s="3"/>
    </row>
    <row r="60" spans="1:8" ht="18.5" x14ac:dyDescent="0.45">
      <c r="A60" s="3">
        <v>54</v>
      </c>
      <c r="B60" s="9">
        <f t="shared" si="1"/>
        <v>0.77307600855114011</v>
      </c>
      <c r="C60" s="3">
        <f t="shared" si="2"/>
        <v>3433694.3995807441</v>
      </c>
      <c r="D60" s="3">
        <f t="shared" si="3"/>
        <v>21930.652796581853</v>
      </c>
      <c r="E60" s="8">
        <f t="shared" si="0"/>
        <v>7.7142857142857144</v>
      </c>
      <c r="F60" s="3"/>
      <c r="G60" s="3"/>
      <c r="H60" s="3"/>
    </row>
    <row r="61" spans="1:8" ht="18.5" x14ac:dyDescent="0.45">
      <c r="A61" s="3">
        <v>55</v>
      </c>
      <c r="B61" s="9">
        <f t="shared" si="1"/>
        <v>0.77786474314893561</v>
      </c>
      <c r="C61" s="3">
        <f t="shared" si="2"/>
        <v>3454964.0431703124</v>
      </c>
      <c r="D61" s="3">
        <f t="shared" si="3"/>
        <v>21269.643589568324</v>
      </c>
      <c r="E61" s="8">
        <f t="shared" si="0"/>
        <v>7.8571428571428568</v>
      </c>
      <c r="F61" s="3"/>
      <c r="G61" s="3"/>
      <c r="H61" s="3"/>
    </row>
    <row r="62" spans="1:8" ht="18.5" x14ac:dyDescent="0.45">
      <c r="A62" s="3">
        <v>56</v>
      </c>
      <c r="B62" s="9">
        <f t="shared" si="1"/>
        <v>0.78251054957228638</v>
      </c>
      <c r="C62" s="3">
        <f t="shared" si="2"/>
        <v>3475598.856980267</v>
      </c>
      <c r="D62" s="3">
        <f t="shared" si="3"/>
        <v>20634.813809954561</v>
      </c>
      <c r="E62" s="8">
        <f t="shared" si="0"/>
        <v>8</v>
      </c>
      <c r="F62" s="3"/>
      <c r="G62" s="3"/>
      <c r="H62" s="3"/>
    </row>
    <row r="63" spans="1:8" ht="18.5" x14ac:dyDescent="0.45">
      <c r="A63" s="3">
        <v>57</v>
      </c>
      <c r="B63" s="9">
        <f t="shared" si="1"/>
        <v>0.78701903202682932</v>
      </c>
      <c r="C63" s="3">
        <f t="shared" si="2"/>
        <v>3495623.7326503652</v>
      </c>
      <c r="D63" s="3">
        <f t="shared" si="3"/>
        <v>20024.875670098234</v>
      </c>
      <c r="E63" s="8">
        <f t="shared" si="0"/>
        <v>8.1428571428571423</v>
      </c>
      <c r="F63" s="3"/>
      <c r="G63" s="3"/>
      <c r="H63" s="3"/>
    </row>
    <row r="64" spans="1:8" ht="18.5" x14ac:dyDescent="0.45">
      <c r="A64" s="3">
        <v>58</v>
      </c>
      <c r="B64" s="9">
        <f t="shared" si="1"/>
        <v>0.79139552172069361</v>
      </c>
      <c r="C64" s="3">
        <f t="shared" si="2"/>
        <v>3515062.3492746325</v>
      </c>
      <c r="D64" s="3">
        <f t="shared" si="3"/>
        <v>19438.616624267306</v>
      </c>
      <c r="E64" s="8">
        <f t="shared" si="0"/>
        <v>8.2857142857142865</v>
      </c>
      <c r="F64" s="3"/>
      <c r="G64" s="3"/>
      <c r="H64" s="3"/>
    </row>
    <row r="65" spans="1:8" ht="18.5" x14ac:dyDescent="0.45">
      <c r="A65" s="3">
        <v>59</v>
      </c>
      <c r="B65" s="9">
        <f t="shared" si="1"/>
        <v>0.79564509267350303</v>
      </c>
      <c r="C65" s="3">
        <f t="shared" si="2"/>
        <v>3533937.2436186313</v>
      </c>
      <c r="D65" s="3">
        <f t="shared" si="3"/>
        <v>18874.894343998749</v>
      </c>
      <c r="E65" s="8">
        <f t="shared" si="0"/>
        <v>8.4285714285714288</v>
      </c>
      <c r="F65" s="3"/>
      <c r="G65" s="3"/>
      <c r="H65" s="3"/>
    </row>
    <row r="66" spans="1:8" ht="18.5" x14ac:dyDescent="0.45">
      <c r="A66" s="3">
        <v>60</v>
      </c>
      <c r="B66" s="9">
        <f t="shared" si="1"/>
        <v>0.799772576477223</v>
      </c>
      <c r="C66" s="3">
        <f t="shared" si="2"/>
        <v>3552269.8756812336</v>
      </c>
      <c r="D66" s="3">
        <f t="shared" si="3"/>
        <v>18332.632062602323</v>
      </c>
      <c r="E66" s="8">
        <f t="shared" si="0"/>
        <v>8.5714285714285712</v>
      </c>
      <c r="F66" s="3"/>
      <c r="G66" s="3"/>
      <c r="H66" s="3"/>
    </row>
    <row r="67" spans="1:8" ht="18.5" x14ac:dyDescent="0.45">
      <c r="A67" s="3">
        <v>61</v>
      </c>
      <c r="B67" s="9">
        <f t="shared" si="1"/>
        <v>0.80378257608556758</v>
      </c>
      <c r="C67" s="3">
        <f t="shared" si="2"/>
        <v>3570080.6899416568</v>
      </c>
      <c r="D67" s="3">
        <f t="shared" si="3"/>
        <v>17810.814260423183</v>
      </c>
      <c r="E67" s="8">
        <f t="shared" si="0"/>
        <v>8.7142857142857135</v>
      </c>
      <c r="F67" s="3"/>
      <c r="G67" s="3"/>
      <c r="H67" s="3"/>
    </row>
    <row r="68" spans="1:8" ht="18.5" x14ac:dyDescent="0.45">
      <c r="A68" s="3">
        <v>62</v>
      </c>
      <c r="B68" s="9">
        <f t="shared" si="1"/>
        <v>0.80767947870274059</v>
      </c>
      <c r="C68" s="3">
        <f t="shared" si="2"/>
        <v>3587389.1726060924</v>
      </c>
      <c r="D68" s="3">
        <f t="shared" si="3"/>
        <v>17308.482664435636</v>
      </c>
      <c r="E68" s="8">
        <f t="shared" si="0"/>
        <v>8.8571428571428577</v>
      </c>
      <c r="F68" s="3"/>
      <c r="G68" s="3"/>
      <c r="H68" s="3"/>
    </row>
    <row r="69" spans="1:8" ht="18.5" x14ac:dyDescent="0.45">
      <c r="A69" s="3">
        <v>63</v>
      </c>
      <c r="B69" s="9">
        <f t="shared" si="1"/>
        <v>0.81146746783681678</v>
      </c>
      <c r="C69" s="3">
        <f t="shared" si="2"/>
        <v>3604213.9051440055</v>
      </c>
      <c r="D69" s="3">
        <f t="shared" si="3"/>
        <v>16824.732537913136</v>
      </c>
      <c r="E69" s="8">
        <f t="shared" si="0"/>
        <v>9</v>
      </c>
      <c r="F69" s="3"/>
      <c r="G69" s="3"/>
      <c r="H69" s="3"/>
    </row>
    <row r="70" spans="1:8" ht="18.5" x14ac:dyDescent="0.45">
      <c r="A70" s="3">
        <v>64</v>
      </c>
      <c r="B70" s="9">
        <f t="shared" si="1"/>
        <v>0.81515053457800413</v>
      </c>
      <c r="C70" s="3">
        <f t="shared" si="2"/>
        <v>3620572.614381663</v>
      </c>
      <c r="D70" s="3">
        <f t="shared" si="3"/>
        <v>16358.709237657487</v>
      </c>
      <c r="E70" s="8">
        <f t="shared" si="0"/>
        <v>9.1428571428571423</v>
      </c>
      <c r="F70" s="3"/>
      <c r="G70" s="3"/>
      <c r="H70" s="3"/>
    </row>
    <row r="71" spans="1:8" ht="18.5" x14ac:dyDescent="0.45">
      <c r="A71" s="3">
        <v>65</v>
      </c>
      <c r="B71" s="9">
        <f t="shared" si="1"/>
        <v>0.81873248815736432</v>
      </c>
      <c r="C71" s="3">
        <f t="shared" si="2"/>
        <v>3636482.2193997493</v>
      </c>
      <c r="D71" s="3">
        <f t="shared" si="3"/>
        <v>15909.605018086266</v>
      </c>
      <c r="E71" s="8">
        <f t="shared" ref="E71:E134" si="4">A71/7</f>
        <v>9.2857142857142865</v>
      </c>
      <c r="F71" s="3"/>
      <c r="G71" s="3"/>
      <c r="H71" s="3"/>
    </row>
    <row r="72" spans="1:8" ht="18.5" x14ac:dyDescent="0.45">
      <c r="A72" s="3">
        <v>66</v>
      </c>
      <c r="B72" s="9">
        <f t="shared" ref="B72:B135" si="5">LOGNORMDIST(A72,$A$3,$B$3)</f>
        <v>0.82221696583727755</v>
      </c>
      <c r="C72" s="3">
        <f t="shared" ref="C72:C135" si="6">$E$3*B72</f>
        <v>3651958.875462852</v>
      </c>
      <c r="D72" s="3">
        <f t="shared" ref="D72:D135" si="7">C72-C71</f>
        <v>15476.656063102651</v>
      </c>
      <c r="E72" s="8">
        <f t="shared" si="4"/>
        <v>9.4285714285714288</v>
      </c>
      <c r="F72" s="3"/>
      <c r="G72" s="3"/>
      <c r="H72" s="3"/>
    </row>
    <row r="73" spans="1:8" ht="18.5" x14ac:dyDescent="0.45">
      <c r="A73" s="3">
        <v>67</v>
      </c>
      <c r="B73" s="9">
        <f t="shared" si="5"/>
        <v>0.82560744218098325</v>
      </c>
      <c r="C73" s="3">
        <f t="shared" si="6"/>
        <v>3667018.0151910554</v>
      </c>
      <c r="D73" s="3">
        <f t="shared" si="7"/>
        <v>15059.139728203416</v>
      </c>
      <c r="E73" s="8">
        <f t="shared" si="4"/>
        <v>9.5714285714285712</v>
      </c>
      <c r="F73" s="3"/>
      <c r="G73" s="3"/>
      <c r="H73" s="3"/>
    </row>
    <row r="74" spans="1:8" ht="18.5" x14ac:dyDescent="0.45">
      <c r="A74" s="3">
        <v>68</v>
      </c>
      <c r="B74" s="9">
        <f t="shared" si="5"/>
        <v>0.82890723774488628</v>
      </c>
      <c r="C74" s="3">
        <f t="shared" si="6"/>
        <v>3681674.3871676871</v>
      </c>
      <c r="D74" s="3">
        <f t="shared" si="7"/>
        <v>14656.371976631694</v>
      </c>
      <c r="E74" s="8">
        <f t="shared" si="4"/>
        <v>9.7142857142857135</v>
      </c>
      <c r="F74" s="3"/>
      <c r="G74" s="3"/>
      <c r="H74" s="3"/>
    </row>
    <row r="75" spans="1:8" ht="18.5" x14ac:dyDescent="0.45">
      <c r="A75" s="3">
        <v>69</v>
      </c>
      <c r="B75" s="9">
        <f t="shared" si="5"/>
        <v>0.83211952723397775</v>
      </c>
      <c r="C75" s="3">
        <f t="shared" si="6"/>
        <v>3695942.0921624354</v>
      </c>
      <c r="D75" s="3">
        <f t="shared" si="7"/>
        <v>14267.704994748347</v>
      </c>
      <c r="E75" s="8">
        <f t="shared" si="4"/>
        <v>9.8571428571428577</v>
      </c>
      <c r="F75" s="3"/>
      <c r="G75" s="3"/>
      <c r="H75" s="3"/>
    </row>
    <row r="76" spans="1:8" ht="18.5" x14ac:dyDescent="0.45">
      <c r="A76" s="3">
        <v>70</v>
      </c>
      <c r="B76" s="9">
        <f t="shared" si="5"/>
        <v>0.83524734715763982</v>
      </c>
      <c r="C76" s="3">
        <f t="shared" si="6"/>
        <v>3709834.6171353729</v>
      </c>
      <c r="D76" s="3">
        <f t="shared" si="7"/>
        <v>13892.524972937535</v>
      </c>
      <c r="E76" s="8">
        <f t="shared" si="4"/>
        <v>10</v>
      </c>
      <c r="F76" s="3"/>
      <c r="G76" s="3"/>
      <c r="H76" s="3"/>
    </row>
    <row r="77" spans="1:8" ht="18.5" x14ac:dyDescent="0.45">
      <c r="A77" s="3">
        <v>71</v>
      </c>
      <c r="B77" s="9">
        <f t="shared" si="5"/>
        <v>0.83829360302027567</v>
      </c>
      <c r="C77" s="3">
        <f t="shared" si="6"/>
        <v>3723364.8671748564</v>
      </c>
      <c r="D77" s="3">
        <f t="shared" si="7"/>
        <v>13530.250039483421</v>
      </c>
      <c r="E77" s="8">
        <f t="shared" si="4"/>
        <v>10.142857142857142</v>
      </c>
      <c r="F77" s="3"/>
      <c r="G77" s="3"/>
      <c r="H77" s="3"/>
    </row>
    <row r="78" spans="1:8" ht="18.5" x14ac:dyDescent="0.45">
      <c r="A78" s="3">
        <v>72</v>
      </c>
      <c r="B78" s="9">
        <f t="shared" si="5"/>
        <v>0.84126107607860234</v>
      </c>
      <c r="C78" s="3">
        <f t="shared" si="6"/>
        <v>3736545.1955107204</v>
      </c>
      <c r="D78" s="3">
        <f t="shared" si="7"/>
        <v>13180.328335864004</v>
      </c>
      <c r="E78" s="8">
        <f t="shared" si="4"/>
        <v>10.285714285714286</v>
      </c>
      <c r="F78" s="3"/>
      <c r="G78" s="3"/>
      <c r="H78" s="3"/>
    </row>
    <row r="79" spans="1:8" ht="18.5" x14ac:dyDescent="0.45">
      <c r="A79" s="3">
        <v>73</v>
      </c>
      <c r="B79" s="9">
        <f t="shared" si="5"/>
        <v>0.84415242969505311</v>
      </c>
      <c r="C79" s="3">
        <f t="shared" si="6"/>
        <v>3749387.4317335477</v>
      </c>
      <c r="D79" s="3">
        <f t="shared" si="7"/>
        <v>12842.236222827341</v>
      </c>
      <c r="E79" s="8">
        <f t="shared" si="4"/>
        <v>10.428571428571429</v>
      </c>
      <c r="F79" s="3"/>
      <c r="G79" s="3"/>
      <c r="H79" s="3"/>
    </row>
    <row r="80" spans="1:8" ht="18.5" x14ac:dyDescent="0.45">
      <c r="A80" s="3">
        <v>74</v>
      </c>
      <c r="B80" s="9">
        <f t="shared" si="5"/>
        <v>0.84697021531453576</v>
      </c>
      <c r="C80" s="3">
        <f t="shared" si="6"/>
        <v>3761902.9083410422</v>
      </c>
      <c r="D80" s="3">
        <f t="shared" si="7"/>
        <v>12515.476607494522</v>
      </c>
      <c r="E80" s="8">
        <f t="shared" si="4"/>
        <v>10.571428571428571</v>
      </c>
      <c r="F80" s="3"/>
      <c r="G80" s="3"/>
      <c r="H80" s="3"/>
    </row>
    <row r="81" spans="1:8" ht="18.5" x14ac:dyDescent="0.45">
      <c r="A81" s="3">
        <v>75</v>
      </c>
      <c r="B81" s="9">
        <f t="shared" si="5"/>
        <v>0.84971687808976615</v>
      </c>
      <c r="C81" s="3">
        <f t="shared" si="6"/>
        <v>3774102.4857235053</v>
      </c>
      <c r="D81" s="3">
        <f t="shared" si="7"/>
        <v>12199.577382463031</v>
      </c>
      <c r="E81" s="8">
        <f t="shared" si="4"/>
        <v>10.714285714285714</v>
      </c>
      <c r="F81" s="3"/>
      <c r="G81" s="3"/>
      <c r="H81" s="3"/>
    </row>
    <row r="82" spans="1:8" ht="18.5" x14ac:dyDescent="0.45">
      <c r="A82" s="3">
        <v>76</v>
      </c>
      <c r="B82" s="9">
        <f t="shared" si="5"/>
        <v>0.85239476217853727</v>
      </c>
      <c r="C82" s="3">
        <f t="shared" si="6"/>
        <v>3785996.5756921913</v>
      </c>
      <c r="D82" s="3">
        <f t="shared" si="7"/>
        <v>11894.089968685992</v>
      </c>
      <c r="E82" s="8">
        <f t="shared" si="4"/>
        <v>10.857142857142858</v>
      </c>
      <c r="F82" s="3"/>
      <c r="G82" s="3"/>
      <c r="H82" s="3"/>
    </row>
    <row r="83" spans="1:8" ht="18.5" x14ac:dyDescent="0.45">
      <c r="A83" s="3">
        <v>77</v>
      </c>
      <c r="B83" s="9">
        <f t="shared" si="5"/>
        <v>0.85500611573456475</v>
      </c>
      <c r="C83" s="3">
        <f t="shared" si="6"/>
        <v>3797595.1636466426</v>
      </c>
      <c r="D83" s="3">
        <f t="shared" si="7"/>
        <v>11598.58795445133</v>
      </c>
      <c r="E83" s="8">
        <f t="shared" si="4"/>
        <v>11</v>
      </c>
      <c r="F83" s="3"/>
      <c r="G83" s="3"/>
      <c r="H83" s="3"/>
    </row>
    <row r="84" spans="1:8" ht="18.5" x14ac:dyDescent="0.45">
      <c r="A84" s="3">
        <v>78</v>
      </c>
      <c r="B84" s="9">
        <f t="shared" si="5"/>
        <v>0.85755309561197379</v>
      </c>
      <c r="C84" s="3">
        <f t="shared" si="6"/>
        <v>3808907.8294701427</v>
      </c>
      <c r="D84" s="3">
        <f t="shared" si="7"/>
        <v>11312.665823500138</v>
      </c>
      <c r="E84" s="8">
        <f t="shared" si="4"/>
        <v>11.142857142857142</v>
      </c>
      <c r="F84" s="3"/>
      <c r="G84" s="3"/>
      <c r="H84" s="3"/>
    </row>
    <row r="85" spans="1:8" ht="18.5" x14ac:dyDescent="0.45">
      <c r="A85" s="3">
        <v>79</v>
      </c>
      <c r="B85" s="9">
        <f t="shared" si="5"/>
        <v>0.86003777180203944</v>
      </c>
      <c r="C85" s="3">
        <f t="shared" si="6"/>
        <v>3819943.7672359385</v>
      </c>
      <c r="D85" s="3">
        <f t="shared" si="7"/>
        <v>11035.937765795738</v>
      </c>
      <c r="E85" s="8">
        <f t="shared" si="4"/>
        <v>11.285714285714286</v>
      </c>
      <c r="F85" s="3"/>
      <c r="G85" s="3"/>
      <c r="H85" s="3"/>
    </row>
    <row r="86" spans="1:8" ht="18.5" x14ac:dyDescent="0.45">
      <c r="A86" s="3">
        <v>80</v>
      </c>
      <c r="B86" s="9">
        <f t="shared" si="5"/>
        <v>0.86246213161944485</v>
      </c>
      <c r="C86" s="3">
        <f t="shared" si="6"/>
        <v>3830711.8038009261</v>
      </c>
      <c r="D86" s="3">
        <f t="shared" si="7"/>
        <v>10768.036564987618</v>
      </c>
      <c r="E86" s="8">
        <f t="shared" si="4"/>
        <v>11.428571428571429</v>
      </c>
      <c r="F86" s="3"/>
      <c r="G86" s="3"/>
      <c r="H86" s="3"/>
    </row>
    <row r="87" spans="1:8" ht="18.5" x14ac:dyDescent="0.45">
      <c r="A87" s="3">
        <v>81</v>
      </c>
      <c r="B87" s="9">
        <f t="shared" si="5"/>
        <v>0.8648280836540978</v>
      </c>
      <c r="C87" s="3">
        <f t="shared" si="6"/>
        <v>3841220.4163580406</v>
      </c>
      <c r="D87" s="3">
        <f t="shared" si="7"/>
        <v>10508.612557114568</v>
      </c>
      <c r="E87" s="8">
        <f t="shared" si="4"/>
        <v>11.571428571428571</v>
      </c>
      <c r="F87" s="3"/>
      <c r="G87" s="3"/>
      <c r="H87" s="3"/>
    </row>
    <row r="88" spans="1:8" ht="18.5" x14ac:dyDescent="0.45">
      <c r="A88" s="3">
        <v>82</v>
      </c>
      <c r="B88" s="9">
        <f t="shared" si="5"/>
        <v>0.86713746150339344</v>
      </c>
      <c r="C88" s="3">
        <f t="shared" si="6"/>
        <v>3851477.7490134723</v>
      </c>
      <c r="D88" s="3">
        <f t="shared" si="7"/>
        <v>10257.332655431703</v>
      </c>
      <c r="E88" s="8">
        <f t="shared" si="4"/>
        <v>11.714285714285714</v>
      </c>
      <c r="F88" s="3"/>
      <c r="G88" s="3"/>
      <c r="H88" s="3"/>
    </row>
    <row r="89" spans="1:8" ht="18.5" x14ac:dyDescent="0.45">
      <c r="A89" s="3">
        <v>83</v>
      </c>
      <c r="B89" s="9">
        <f t="shared" si="5"/>
        <v>0.86939202729877307</v>
      </c>
      <c r="C89" s="3">
        <f t="shared" si="6"/>
        <v>3861491.6284502307</v>
      </c>
      <c r="D89" s="3">
        <f t="shared" si="7"/>
        <v>10013.879436758347</v>
      </c>
      <c r="E89" s="8">
        <f t="shared" si="4"/>
        <v>11.857142857142858</v>
      </c>
      <c r="F89" s="3"/>
      <c r="G89" s="3"/>
      <c r="H89" s="3"/>
    </row>
    <row r="90" spans="1:8" ht="18.5" x14ac:dyDescent="0.45">
      <c r="A90" s="3">
        <v>84</v>
      </c>
      <c r="B90" s="9">
        <f t="shared" si="5"/>
        <v>0.87159347503944584</v>
      </c>
      <c r="C90" s="3">
        <f t="shared" si="6"/>
        <v>3871269.5787352026</v>
      </c>
      <c r="D90" s="3">
        <f t="shared" si="7"/>
        <v>9777.9502849718556</v>
      </c>
      <c r="E90" s="8">
        <f t="shared" si="4"/>
        <v>12</v>
      </c>
      <c r="F90" s="3"/>
      <c r="G90" s="3"/>
      <c r="H90" s="3"/>
    </row>
    <row r="91" spans="1:8" ht="18.5" x14ac:dyDescent="0.45">
      <c r="A91" s="3">
        <v>85</v>
      </c>
      <c r="B91" s="9">
        <f t="shared" si="5"/>
        <v>0.87374343374525443</v>
      </c>
      <c r="C91" s="3">
        <f t="shared" si="6"/>
        <v>3880818.8353229221</v>
      </c>
      <c r="D91" s="3">
        <f t="shared" si="7"/>
        <v>9549.2565877195448</v>
      </c>
      <c r="E91" s="8">
        <f t="shared" si="4"/>
        <v>12.142857142857142</v>
      </c>
      <c r="F91" s="3"/>
      <c r="G91" s="3"/>
      <c r="H91" s="3"/>
    </row>
    <row r="92" spans="1:8" ht="18.5" x14ac:dyDescent="0.45">
      <c r="A92" s="3">
        <v>86</v>
      </c>
      <c r="B92" s="9">
        <f t="shared" si="5"/>
        <v>0.87584347043982913</v>
      </c>
      <c r="C92" s="3">
        <f t="shared" si="6"/>
        <v>3890146.3583055451</v>
      </c>
      <c r="D92" s="3">
        <f t="shared" si="7"/>
        <v>9327.5229826229624</v>
      </c>
      <c r="E92" s="8">
        <f t="shared" si="4"/>
        <v>12.285714285714286</v>
      </c>
      <c r="F92" s="3"/>
      <c r="G92" s="3"/>
      <c r="H92" s="3"/>
    </row>
    <row r="93" spans="1:8" ht="18.5" x14ac:dyDescent="0.45">
      <c r="A93" s="3">
        <v>87</v>
      </c>
      <c r="B93" s="9">
        <f t="shared" si="5"/>
        <v>0.87789509297441815</v>
      </c>
      <c r="C93" s="3">
        <f t="shared" si="6"/>
        <v>3899258.8449551756</v>
      </c>
      <c r="D93" s="3">
        <f t="shared" si="7"/>
        <v>9112.4866496305913</v>
      </c>
      <c r="E93" s="8">
        <f t="shared" si="4"/>
        <v>12.428571428571429</v>
      </c>
      <c r="F93" s="3"/>
      <c r="G93" s="3"/>
      <c r="H93" s="3"/>
    </row>
    <row r="94" spans="1:8" ht="18.5" x14ac:dyDescent="0.45">
      <c r="A94" s="3">
        <v>88</v>
      </c>
      <c r="B94" s="9">
        <f t="shared" si="5"/>
        <v>0.87989975270206244</v>
      </c>
      <c r="C94" s="3">
        <f t="shared" si="6"/>
        <v>3908162.7416014806</v>
      </c>
      <c r="D94" s="3">
        <f t="shared" si="7"/>
        <v>8903.8966463049874</v>
      </c>
      <c r="E94" s="8">
        <f t="shared" si="4"/>
        <v>12.571428571428571</v>
      </c>
      <c r="F94" s="3"/>
      <c r="G94" s="3"/>
      <c r="H94" s="3"/>
    </row>
    <row r="95" spans="1:8" ht="18.5" x14ac:dyDescent="0.45">
      <c r="A95" s="3">
        <v>89</v>
      </c>
      <c r="B95" s="9">
        <f t="shared" si="5"/>
        <v>0.88185884701114114</v>
      </c>
      <c r="C95" s="3">
        <f t="shared" si="6"/>
        <v>3916864.2548846845</v>
      </c>
      <c r="D95" s="3">
        <f t="shared" si="7"/>
        <v>8701.5132832038216</v>
      </c>
      <c r="E95" s="8">
        <f t="shared" si="4"/>
        <v>12.714285714285714</v>
      </c>
      <c r="F95" s="3"/>
      <c r="G95" s="3"/>
      <c r="H95" s="3"/>
    </row>
    <row r="96" spans="1:8" ht="18.5" x14ac:dyDescent="0.45">
      <c r="A96" s="3">
        <v>90</v>
      </c>
      <c r="B96" s="9">
        <f t="shared" si="5"/>
        <v>0.88377372172669799</v>
      </c>
      <c r="C96" s="3">
        <f t="shared" si="6"/>
        <v>3925369.3624213017</v>
      </c>
      <c r="D96" s="3">
        <f t="shared" si="7"/>
        <v>8505.1075366172008</v>
      </c>
      <c r="E96" s="8">
        <f t="shared" si="4"/>
        <v>12.857142857142858</v>
      </c>
      <c r="F96" s="3"/>
      <c r="G96" s="3"/>
      <c r="H96" s="3"/>
    </row>
    <row r="97" spans="1:8" ht="18.5" x14ac:dyDescent="0.45">
      <c r="A97" s="3">
        <v>91</v>
      </c>
      <c r="B97" s="9">
        <f t="shared" si="5"/>
        <v>0.88564567338739808</v>
      </c>
      <c r="C97" s="3">
        <f t="shared" si="6"/>
        <v>3933683.8229174674</v>
      </c>
      <c r="D97" s="3">
        <f t="shared" si="7"/>
        <v>8314.4604961657897</v>
      </c>
      <c r="E97" s="8">
        <f t="shared" si="4"/>
        <v>13</v>
      </c>
      <c r="F97" s="3"/>
      <c r="G97" s="3"/>
      <c r="H97" s="3"/>
    </row>
    <row r="98" spans="1:8" ht="18.5" x14ac:dyDescent="0.45">
      <c r="A98" s="3">
        <v>92</v>
      </c>
      <c r="B98" s="9">
        <f t="shared" si="5"/>
        <v>0.88747595140545066</v>
      </c>
      <c r="C98" s="3">
        <f t="shared" si="6"/>
        <v>3941813.1857624496</v>
      </c>
      <c r="D98" s="3">
        <f t="shared" si="7"/>
        <v>8129.3628449821845</v>
      </c>
      <c r="E98" s="8">
        <f t="shared" si="4"/>
        <v>13.142857142857142</v>
      </c>
      <c r="F98" s="3"/>
      <c r="G98" s="3"/>
      <c r="H98" s="3"/>
    </row>
    <row r="99" spans="1:8" ht="18.5" x14ac:dyDescent="0.45">
      <c r="A99" s="3">
        <v>93</v>
      </c>
      <c r="B99" s="9">
        <f t="shared" si="5"/>
        <v>0.88926576011634173</v>
      </c>
      <c r="C99" s="3">
        <f t="shared" si="6"/>
        <v>3949762.8001327435</v>
      </c>
      <c r="D99" s="3">
        <f t="shared" si="7"/>
        <v>7949.6143702939153</v>
      </c>
      <c r="E99" s="8">
        <f t="shared" si="4"/>
        <v>13.285714285714286</v>
      </c>
      <c r="F99" s="3"/>
      <c r="G99" s="3"/>
      <c r="H99" s="3"/>
    </row>
    <row r="100" spans="1:8" ht="18.5" x14ac:dyDescent="0.45">
      <c r="A100" s="3">
        <v>94</v>
      </c>
      <c r="B100" s="9">
        <f t="shared" si="5"/>
        <v>0.89101626072477924</v>
      </c>
      <c r="C100" s="3">
        <f t="shared" si="6"/>
        <v>3957537.8236351795</v>
      </c>
      <c r="D100" s="3">
        <f t="shared" si="7"/>
        <v>7775.0235024360009</v>
      </c>
      <c r="E100" s="8">
        <f t="shared" si="4"/>
        <v>13.428571428571429</v>
      </c>
      <c r="F100" s="3"/>
      <c r="G100" s="3"/>
      <c r="H100" s="3"/>
    </row>
    <row r="101" spans="1:8" ht="18.5" x14ac:dyDescent="0.45">
      <c r="A101" s="3">
        <v>95</v>
      </c>
      <c r="B101" s="9">
        <f t="shared" si="5"/>
        <v>0.89272857315283505</v>
      </c>
      <c r="C101" s="3">
        <f t="shared" si="6"/>
        <v>3965143.2305156323</v>
      </c>
      <c r="D101" s="3">
        <f t="shared" si="7"/>
        <v>7605.4068804527633</v>
      </c>
      <c r="E101" s="8">
        <f t="shared" si="4"/>
        <v>13.571428571428571</v>
      </c>
      <c r="F101" s="3"/>
      <c r="G101" s="3"/>
      <c r="H101" s="3"/>
    </row>
    <row r="102" spans="1:8" ht="18.5" x14ac:dyDescent="0.45">
      <c r="A102" s="3">
        <v>96</v>
      </c>
      <c r="B102" s="9">
        <f t="shared" si="5"/>
        <v>0.89440377779588198</v>
      </c>
      <c r="C102" s="3">
        <f t="shared" si="6"/>
        <v>3972583.8194581894</v>
      </c>
      <c r="D102" s="3">
        <f t="shared" si="7"/>
        <v>7440.5889425571077</v>
      </c>
      <c r="E102" s="8">
        <f t="shared" si="4"/>
        <v>13.714285714285714</v>
      </c>
      <c r="F102" s="3"/>
      <c r="G102" s="3"/>
      <c r="H102" s="3"/>
    </row>
    <row r="103" spans="1:8" ht="18.5" x14ac:dyDescent="0.45">
      <c r="A103" s="3">
        <v>97</v>
      </c>
      <c r="B103" s="9">
        <f t="shared" si="5"/>
        <v>0.89604291719156759</v>
      </c>
      <c r="C103" s="3">
        <f t="shared" si="6"/>
        <v>3979864.2209980665</v>
      </c>
      <c r="D103" s="3">
        <f t="shared" si="7"/>
        <v>7280.4015398770571</v>
      </c>
      <c r="E103" s="8">
        <f t="shared" si="4"/>
        <v>13.857142857142858</v>
      </c>
      <c r="F103" s="3"/>
      <c r="G103" s="3"/>
      <c r="H103" s="3"/>
    </row>
    <row r="104" spans="1:8" ht="18.5" x14ac:dyDescent="0.45">
      <c r="A104" s="3">
        <v>98</v>
      </c>
      <c r="B104" s="9">
        <f t="shared" si="5"/>
        <v>0.89764699760673006</v>
      </c>
      <c r="C104" s="3">
        <f t="shared" si="6"/>
        <v>3986988.9045700524</v>
      </c>
      <c r="D104" s="3">
        <f t="shared" si="7"/>
        <v>7124.6835719859228</v>
      </c>
      <c r="E104" s="8">
        <f t="shared" si="4"/>
        <v>14</v>
      </c>
      <c r="F104" s="3"/>
      <c r="G104" s="3"/>
      <c r="H104" s="3"/>
    </row>
    <row r="105" spans="1:8" ht="18.5" x14ac:dyDescent="0.45">
      <c r="A105" s="3">
        <v>99</v>
      </c>
      <c r="B105" s="9">
        <f t="shared" si="5"/>
        <v>0.899216990546856</v>
      </c>
      <c r="C105" s="3">
        <f t="shared" si="6"/>
        <v>3993962.1852129158</v>
      </c>
      <c r="D105" s="3">
        <f t="shared" si="7"/>
        <v>6973.280642863363</v>
      </c>
      <c r="E105" s="8">
        <f t="shared" si="4"/>
        <v>14.142857142857142</v>
      </c>
      <c r="F105" s="3"/>
      <c r="G105" s="3"/>
      <c r="H105" s="3"/>
    </row>
    <row r="106" spans="1:8" ht="18.5" x14ac:dyDescent="0.45">
      <c r="A106" s="3">
        <v>100</v>
      </c>
      <c r="B106" s="9">
        <f t="shared" si="5"/>
        <v>0.90075383419238653</v>
      </c>
      <c r="C106" s="3">
        <f t="shared" si="6"/>
        <v>4000788.2299489039</v>
      </c>
      <c r="D106" s="3">
        <f t="shared" si="7"/>
        <v>6826.0447359881364</v>
      </c>
      <c r="E106" s="8">
        <f t="shared" si="4"/>
        <v>14.285714285714286</v>
      </c>
      <c r="F106" s="3"/>
      <c r="G106" s="3"/>
      <c r="H106" s="3"/>
    </row>
    <row r="107" spans="1:8" ht="18.5" x14ac:dyDescent="0.45">
      <c r="A107" s="3">
        <v>101</v>
      </c>
      <c r="B107" s="9">
        <f t="shared" si="5"/>
        <v>0.90225843476591339</v>
      </c>
      <c r="C107" s="3">
        <f t="shared" si="6"/>
        <v>4007471.0638562809</v>
      </c>
      <c r="D107" s="3">
        <f t="shared" si="7"/>
        <v>6682.8339073769748</v>
      </c>
      <c r="E107" s="8">
        <f t="shared" si="4"/>
        <v>14.428571428571429</v>
      </c>
      <c r="F107" s="3"/>
      <c r="G107" s="3"/>
      <c r="H107" s="3"/>
    </row>
    <row r="108" spans="1:8" ht="18.5" x14ac:dyDescent="0.45">
      <c r="A108" s="3">
        <v>102</v>
      </c>
      <c r="B108" s="9">
        <f t="shared" si="5"/>
        <v>0.90373166783405667</v>
      </c>
      <c r="C108" s="3">
        <f t="shared" si="6"/>
        <v>4014014.5758517459</v>
      </c>
      <c r="D108" s="3">
        <f t="shared" si="7"/>
        <v>6543.511995465029</v>
      </c>
      <c r="E108" s="8">
        <f t="shared" si="4"/>
        <v>14.571428571428571</v>
      </c>
      <c r="F108" s="3"/>
      <c r="G108" s="3"/>
      <c r="H108" s="3"/>
    </row>
    <row r="109" spans="1:8" ht="18.5" x14ac:dyDescent="0.45">
      <c r="A109" s="3">
        <v>103</v>
      </c>
      <c r="B109" s="9">
        <f t="shared" si="5"/>
        <v>0.90517437954758029</v>
      </c>
      <c r="C109" s="3">
        <f t="shared" si="6"/>
        <v>4020422.5241985326</v>
      </c>
      <c r="D109" s="3">
        <f t="shared" si="7"/>
        <v>6407.9483467866667</v>
      </c>
      <c r="E109" s="8">
        <f t="shared" si="4"/>
        <v>14.714285714285714</v>
      </c>
      <c r="F109" s="3"/>
      <c r="G109" s="3"/>
      <c r="H109" s="3"/>
    </row>
    <row r="110" spans="1:8" ht="18.5" x14ac:dyDescent="0.45">
      <c r="A110" s="3">
        <v>104</v>
      </c>
      <c r="B110" s="9">
        <f t="shared" si="5"/>
        <v>0.90658738782308546</v>
      </c>
      <c r="C110" s="3">
        <f t="shared" si="6"/>
        <v>4026698.5417550164</v>
      </c>
      <c r="D110" s="3">
        <f t="shared" si="7"/>
        <v>6276.0175564838573</v>
      </c>
      <c r="E110" s="8">
        <f t="shared" si="4"/>
        <v>14.857142857142858</v>
      </c>
      <c r="F110" s="3"/>
      <c r="G110" s="3"/>
      <c r="H110" s="3"/>
    </row>
    <row r="111" spans="1:8" ht="18.5" x14ac:dyDescent="0.45">
      <c r="A111" s="3">
        <v>105</v>
      </c>
      <c r="B111" s="9">
        <f t="shared" si="5"/>
        <v>0.9079714834694238</v>
      </c>
      <c r="C111" s="3">
        <f t="shared" si="6"/>
        <v>4032846.1409777929</v>
      </c>
      <c r="D111" s="3">
        <f t="shared" si="7"/>
        <v>6147.59922277648</v>
      </c>
      <c r="E111" s="8">
        <f t="shared" si="4"/>
        <v>15</v>
      </c>
      <c r="F111" s="3"/>
      <c r="G111" s="3"/>
      <c r="H111" s="3"/>
    </row>
    <row r="112" spans="1:8" ht="18.5" x14ac:dyDescent="0.45">
      <c r="A112" s="3">
        <v>106</v>
      </c>
      <c r="B112" s="9">
        <f t="shared" si="5"/>
        <v>0.90932743126177451</v>
      </c>
      <c r="C112" s="3">
        <f t="shared" si="6"/>
        <v>4038868.7186922976</v>
      </c>
      <c r="D112" s="3">
        <f t="shared" si="7"/>
        <v>6022.5777145046741</v>
      </c>
      <c r="E112" s="8">
        <f t="shared" si="4"/>
        <v>15.142857142857142</v>
      </c>
      <c r="F112" s="3"/>
      <c r="G112" s="3"/>
      <c r="H112" s="3"/>
    </row>
    <row r="113" spans="1:8" ht="18.5" x14ac:dyDescent="0.45">
      <c r="A113" s="3">
        <v>107</v>
      </c>
      <c r="B113" s="9">
        <f t="shared" si="5"/>
        <v>0.91065597096616258</v>
      </c>
      <c r="C113" s="3">
        <f t="shared" si="6"/>
        <v>4044769.5606433079</v>
      </c>
      <c r="D113" s="3">
        <f t="shared" si="7"/>
        <v>5900.8419510102831</v>
      </c>
      <c r="E113" s="8">
        <f t="shared" si="4"/>
        <v>15.285714285714286</v>
      </c>
      <c r="F113" s="3"/>
      <c r="G113" s="3"/>
      <c r="H113" s="3"/>
    </row>
    <row r="114" spans="1:8" ht="18.5" x14ac:dyDescent="0.45">
      <c r="A114" s="3">
        <v>108</v>
      </c>
      <c r="B114" s="9">
        <f t="shared" si="5"/>
        <v>0.91195781831702327</v>
      </c>
      <c r="C114" s="3">
        <f t="shared" si="6"/>
        <v>4050551.8458368904</v>
      </c>
      <c r="D114" s="3">
        <f t="shared" si="7"/>
        <v>5782.2851935825311</v>
      </c>
      <c r="E114" s="8">
        <f t="shared" si="4"/>
        <v>15.428571428571429</v>
      </c>
      <c r="F114" s="3"/>
      <c r="G114" s="3"/>
      <c r="H114" s="3"/>
    </row>
    <row r="115" spans="1:8" ht="18.5" x14ac:dyDescent="0.45">
      <c r="A115" s="3">
        <v>109</v>
      </c>
      <c r="B115" s="9">
        <f t="shared" si="5"/>
        <v>0.91323366595026867</v>
      </c>
      <c r="C115" s="3">
        <f t="shared" si="6"/>
        <v>4056218.6506847134</v>
      </c>
      <c r="D115" s="3">
        <f t="shared" si="7"/>
        <v>5666.8048478229903</v>
      </c>
      <c r="E115" s="8">
        <f t="shared" si="4"/>
        <v>15.571428571428571</v>
      </c>
      <c r="F115" s="3"/>
      <c r="G115" s="3"/>
      <c r="H115" s="3"/>
    </row>
    <row r="116" spans="1:8" ht="18.5" x14ac:dyDescent="0.45">
      <c r="A116" s="3">
        <v>110</v>
      </c>
      <c r="B116" s="9">
        <f t="shared" si="5"/>
        <v>0.91448418429416778</v>
      </c>
      <c r="C116" s="3">
        <f t="shared" si="6"/>
        <v>4061772.9529609755</v>
      </c>
      <c r="D116" s="3">
        <f t="shared" si="7"/>
        <v>5554.3022762620822</v>
      </c>
      <c r="E116" s="8">
        <f t="shared" si="4"/>
        <v>15.714285714285714</v>
      </c>
      <c r="F116" s="3"/>
      <c r="G116" s="3"/>
      <c r="H116" s="3"/>
    </row>
    <row r="117" spans="1:8" ht="18.5" x14ac:dyDescent="0.45">
      <c r="A117" s="3">
        <v>111</v>
      </c>
      <c r="B117" s="9">
        <f t="shared" si="5"/>
        <v>0.91571002242021238</v>
      </c>
      <c r="C117" s="3">
        <f t="shared" si="6"/>
        <v>4067217.6355816154</v>
      </c>
      <c r="D117" s="3">
        <f t="shared" si="7"/>
        <v>5444.6826206399128</v>
      </c>
      <c r="E117" s="8">
        <f t="shared" si="4"/>
        <v>15.857142857142858</v>
      </c>
      <c r="F117" s="3"/>
      <c r="G117" s="3"/>
      <c r="H117" s="3"/>
    </row>
    <row r="118" spans="1:8" ht="18.5" x14ac:dyDescent="0.45">
      <c r="A118" s="3">
        <v>112</v>
      </c>
      <c r="B118" s="9">
        <f t="shared" si="5"/>
        <v>0.91691180885602253</v>
      </c>
      <c r="C118" s="3">
        <f t="shared" si="6"/>
        <v>4072555.4902149094</v>
      </c>
      <c r="D118" s="3">
        <f t="shared" si="7"/>
        <v>5337.8546332940459</v>
      </c>
      <c r="E118" s="8">
        <f t="shared" si="4"/>
        <v>16</v>
      </c>
      <c r="F118" s="3"/>
      <c r="G118" s="3"/>
      <c r="H118" s="3"/>
    </row>
    <row r="119" spans="1:8" ht="18.5" x14ac:dyDescent="0.45">
      <c r="A119" s="3">
        <v>113</v>
      </c>
      <c r="B119" s="9">
        <f t="shared" si="5"/>
        <v>0.91809015236222247</v>
      </c>
      <c r="C119" s="3">
        <f t="shared" si="6"/>
        <v>4077789.2207320472</v>
      </c>
      <c r="D119" s="3">
        <f t="shared" si="7"/>
        <v>5233.7305171377957</v>
      </c>
      <c r="E119" s="8">
        <f t="shared" si="4"/>
        <v>16.142857142857142</v>
      </c>
      <c r="F119" s="3"/>
      <c r="G119" s="3"/>
      <c r="H119" s="3"/>
    </row>
    <row r="120" spans="1:8" ht="18.5" x14ac:dyDescent="0.45">
      <c r="A120" s="3">
        <v>114</v>
      </c>
      <c r="B120" s="9">
        <f t="shared" si="5"/>
        <v>0.91924564267510678</v>
      </c>
      <c r="C120" s="3">
        <f t="shared" si="6"/>
        <v>4082921.4465057543</v>
      </c>
      <c r="D120" s="3">
        <f t="shared" si="7"/>
        <v>5132.2257737070322</v>
      </c>
      <c r="E120" s="8">
        <f t="shared" si="4"/>
        <v>16.285714285714285</v>
      </c>
      <c r="F120" s="3"/>
      <c r="G120" s="3"/>
      <c r="H120" s="3"/>
    </row>
    <row r="121" spans="1:8" ht="18.5" x14ac:dyDescent="0.45">
      <c r="A121" s="3">
        <v>115</v>
      </c>
      <c r="B121" s="9">
        <f t="shared" si="5"/>
        <v>0.92037885121681962</v>
      </c>
      <c r="C121" s="3">
        <f t="shared" si="6"/>
        <v>4087954.705564626</v>
      </c>
      <c r="D121" s="3">
        <f t="shared" si="7"/>
        <v>5033.2590588717721</v>
      </c>
      <c r="E121" s="8">
        <f t="shared" si="4"/>
        <v>16.428571428571427</v>
      </c>
      <c r="F121" s="3"/>
      <c r="G121" s="3"/>
      <c r="H121" s="3"/>
    </row>
    <row r="122" spans="1:8" ht="18.5" x14ac:dyDescent="0.45">
      <c r="A122" s="3">
        <v>116</v>
      </c>
      <c r="B122" s="9">
        <f t="shared" si="5"/>
        <v>0.92149033177466455</v>
      </c>
      <c r="C122" s="3">
        <f t="shared" si="6"/>
        <v>4092891.4576103501</v>
      </c>
      <c r="D122" s="3">
        <f t="shared" si="7"/>
        <v>4936.7520457240753</v>
      </c>
      <c r="E122" s="8">
        <f t="shared" si="4"/>
        <v>16.571428571428573</v>
      </c>
      <c r="F122" s="3"/>
      <c r="G122" s="3"/>
      <c r="H122" s="3"/>
    </row>
    <row r="123" spans="1:8" ht="18.5" x14ac:dyDescent="0.45">
      <c r="A123" s="3">
        <v>117</v>
      </c>
      <c r="B123" s="9">
        <f t="shared" si="5"/>
        <v>0.92258062115107753</v>
      </c>
      <c r="C123" s="3">
        <f t="shared" si="6"/>
        <v>4097734.0869046259</v>
      </c>
      <c r="D123" s="3">
        <f t="shared" si="7"/>
        <v>4842.6292942757718</v>
      </c>
      <c r="E123" s="8">
        <f t="shared" si="4"/>
        <v>16.714285714285715</v>
      </c>
      <c r="F123" s="3"/>
      <c r="G123" s="3"/>
      <c r="H123" s="3"/>
    </row>
    <row r="124" spans="1:8" ht="18.5" x14ac:dyDescent="0.45">
      <c r="A124" s="3">
        <v>118</v>
      </c>
      <c r="B124" s="9">
        <f t="shared" si="5"/>
        <v>0.92365023978570837</v>
      </c>
      <c r="C124" s="3">
        <f t="shared" si="6"/>
        <v>4102484.9050322021</v>
      </c>
      <c r="D124" s="3">
        <f t="shared" si="7"/>
        <v>4750.8181275762618</v>
      </c>
      <c r="E124" s="8">
        <f t="shared" si="4"/>
        <v>16.857142857142858</v>
      </c>
      <c r="F124" s="3"/>
      <c r="G124" s="3"/>
      <c r="H124" s="3"/>
    </row>
    <row r="125" spans="1:8" ht="18.5" x14ac:dyDescent="0.45">
      <c r="A125" s="3">
        <v>119</v>
      </c>
      <c r="B125" s="9">
        <f t="shared" si="5"/>
        <v>0.92469969235097693</v>
      </c>
      <c r="C125" s="3">
        <f t="shared" si="6"/>
        <v>4107146.1535460991</v>
      </c>
      <c r="D125" s="3">
        <f t="shared" si="7"/>
        <v>4661.2485138969496</v>
      </c>
      <c r="E125" s="8">
        <f t="shared" si="4"/>
        <v>17</v>
      </c>
      <c r="F125" s="3"/>
      <c r="G125" s="3"/>
      <c r="H125" s="3"/>
    </row>
    <row r="126" spans="1:8" ht="18.5" x14ac:dyDescent="0.45">
      <c r="A126" s="3">
        <v>120</v>
      </c>
      <c r="B126" s="9">
        <f t="shared" si="5"/>
        <v>0.92572946832239389</v>
      </c>
      <c r="C126" s="3">
        <f t="shared" si="6"/>
        <v>4111720.0065007447</v>
      </c>
      <c r="D126" s="3">
        <f t="shared" si="7"/>
        <v>4573.8529546456411</v>
      </c>
      <c r="E126" s="8">
        <f t="shared" si="4"/>
        <v>17.142857142857142</v>
      </c>
      <c r="F126" s="3"/>
      <c r="G126" s="3"/>
      <c r="H126" s="3"/>
    </row>
    <row r="127" spans="1:8" ht="18.5" x14ac:dyDescent="0.45">
      <c r="A127" s="3">
        <v>121</v>
      </c>
      <c r="B127" s="9">
        <f t="shared" si="5"/>
        <v>0.92674004252486619</v>
      </c>
      <c r="C127" s="3">
        <f t="shared" si="6"/>
        <v>4116208.5728784455</v>
      </c>
      <c r="D127" s="3">
        <f t="shared" si="7"/>
        <v>4488.5663777007721</v>
      </c>
      <c r="E127" s="8">
        <f t="shared" si="4"/>
        <v>17.285714285714285</v>
      </c>
      <c r="F127" s="3"/>
      <c r="G127" s="3"/>
      <c r="H127" s="3"/>
    </row>
    <row r="128" spans="1:8" ht="18.5" x14ac:dyDescent="0.45">
      <c r="A128" s="3">
        <v>122</v>
      </c>
      <c r="B128" s="9">
        <f t="shared" si="5"/>
        <v>0.92773187565614079</v>
      </c>
      <c r="C128" s="3">
        <f t="shared" si="6"/>
        <v>4120613.8989143148</v>
      </c>
      <c r="D128" s="3">
        <f t="shared" si="7"/>
        <v>4405.3260358693078</v>
      </c>
      <c r="E128" s="8">
        <f t="shared" si="4"/>
        <v>17.428571428571427</v>
      </c>
      <c r="F128" s="3"/>
      <c r="G128" s="3"/>
      <c r="H128" s="3"/>
    </row>
    <row r="129" spans="1:8" ht="18.5" x14ac:dyDescent="0.45">
      <c r="A129" s="3">
        <v>123</v>
      </c>
      <c r="B129" s="9">
        <f t="shared" si="5"/>
        <v>0.92870541478847968</v>
      </c>
      <c r="C129" s="3">
        <f t="shared" si="6"/>
        <v>4124937.9703245112</v>
      </c>
      <c r="D129" s="3">
        <f t="shared" si="7"/>
        <v>4324.0714101963677</v>
      </c>
      <c r="E129" s="8">
        <f t="shared" si="4"/>
        <v>17.571428571428573</v>
      </c>
      <c r="F129" s="3"/>
      <c r="G129" s="3"/>
      <c r="H129" s="3"/>
    </row>
    <row r="130" spans="1:8" ht="18.5" x14ac:dyDescent="0.45">
      <c r="A130" s="3">
        <v>124</v>
      </c>
      <c r="B130" s="9">
        <f t="shared" si="5"/>
        <v>0.92966109384959816</v>
      </c>
      <c r="C130" s="3">
        <f t="shared" si="6"/>
        <v>4129182.7144423751</v>
      </c>
      <c r="D130" s="3">
        <f t="shared" si="7"/>
        <v>4244.7441178639419</v>
      </c>
      <c r="E130" s="8">
        <f t="shared" si="4"/>
        <v>17.714285714285715</v>
      </c>
      <c r="F130" s="3"/>
      <c r="G130" s="3"/>
      <c r="H130" s="3"/>
    </row>
    <row r="131" spans="1:8" ht="18.5" x14ac:dyDescent="0.45">
      <c r="A131" s="3">
        <v>125</v>
      </c>
      <c r="B131" s="9">
        <f t="shared" si="5"/>
        <v>0.93059933408384354</v>
      </c>
      <c r="C131" s="3">
        <f t="shared" si="6"/>
        <v>4133350.0022667996</v>
      </c>
      <c r="D131" s="3">
        <f t="shared" si="7"/>
        <v>4167.2878244244494</v>
      </c>
      <c r="E131" s="8">
        <f t="shared" si="4"/>
        <v>17.857142857142858</v>
      </c>
      <c r="F131" s="3"/>
      <c r="G131" s="3"/>
      <c r="H131" s="3"/>
    </row>
    <row r="132" spans="1:8" ht="18.5" x14ac:dyDescent="0.45">
      <c r="A132" s="3">
        <v>126</v>
      </c>
      <c r="B132" s="9">
        <f t="shared" si="5"/>
        <v>0.93152054449454336</v>
      </c>
      <c r="C132" s="3">
        <f t="shared" si="6"/>
        <v>4137441.6504269638</v>
      </c>
      <c r="D132" s="3">
        <f t="shared" si="7"/>
        <v>4091.6481601642445</v>
      </c>
      <c r="E132" s="8">
        <f t="shared" si="4"/>
        <v>18</v>
      </c>
      <c r="F132" s="3"/>
      <c r="G132" s="3"/>
      <c r="H132" s="3"/>
    </row>
    <row r="133" spans="1:8" ht="18.5" x14ac:dyDescent="0.45">
      <c r="A133" s="3">
        <v>127</v>
      </c>
      <c r="B133" s="9">
        <f t="shared" si="5"/>
        <v>0.93242512226839769</v>
      </c>
      <c r="C133" s="3">
        <f t="shared" si="6"/>
        <v>4141459.423067315</v>
      </c>
      <c r="D133" s="3">
        <f t="shared" si="7"/>
        <v>4017.7726403512061</v>
      </c>
      <c r="E133" s="8">
        <f t="shared" si="4"/>
        <v>18.142857142857142</v>
      </c>
      <c r="F133" s="3"/>
      <c r="G133" s="3"/>
      <c r="H133" s="3"/>
    </row>
    <row r="134" spans="1:8" ht="18.5" x14ac:dyDescent="0.45">
      <c r="A134" s="3">
        <v>128</v>
      </c>
      <c r="B134" s="9">
        <f t="shared" si="5"/>
        <v>0.93331345318274883</v>
      </c>
      <c r="C134" s="3">
        <f t="shared" si="6"/>
        <v>4145405.033656497</v>
      </c>
      <c r="D134" s="3">
        <f t="shared" si="7"/>
        <v>3945.6105891820043</v>
      </c>
      <c r="E134" s="8">
        <f t="shared" si="4"/>
        <v>18.285714285714285</v>
      </c>
      <c r="F134" s="3"/>
      <c r="G134" s="3"/>
      <c r="H134" s="3"/>
    </row>
    <row r="135" spans="1:8" ht="18.5" x14ac:dyDescent="0.45">
      <c r="A135" s="3">
        <v>129</v>
      </c>
      <c r="B135" s="9">
        <f t="shared" si="5"/>
        <v>0.93418591199651557</v>
      </c>
      <c r="C135" s="3">
        <f t="shared" si="6"/>
        <v>4149280.1467237235</v>
      </c>
      <c r="D135" s="3">
        <f t="shared" si="7"/>
        <v>3875.1130672264844</v>
      </c>
      <c r="E135" s="8">
        <f t="shared" ref="E135:E198" si="8">A135/7</f>
        <v>18.428571428571427</v>
      </c>
      <c r="F135" s="3"/>
      <c r="G135" s="3"/>
      <c r="H135" s="3"/>
    </row>
    <row r="136" spans="1:8" ht="18.5" x14ac:dyDescent="0.45">
      <c r="A136" s="3">
        <v>130</v>
      </c>
      <c r="B136" s="9">
        <f t="shared" ref="B136:B199" si="9">LOGNORMDIST(A136,$A$3,$B$3)</f>
        <v>0.93504286282554128</v>
      </c>
      <c r="C136" s="3">
        <f t="shared" ref="C136:C199" si="10">$E$3*B136</f>
        <v>4153086.3795259241</v>
      </c>
      <c r="D136" s="3">
        <f t="shared" ref="D136:D199" si="11">C136-C135</f>
        <v>3806.2328022005968</v>
      </c>
      <c r="E136" s="8">
        <f t="shared" si="8"/>
        <v>18.571428571428573</v>
      </c>
      <c r="F136" s="3"/>
      <c r="G136" s="3"/>
      <c r="H136" s="3"/>
    </row>
    <row r="137" spans="1:8" ht="18.5" x14ac:dyDescent="0.45">
      <c r="A137" s="3">
        <v>131</v>
      </c>
      <c r="B137" s="9">
        <f t="shared" si="9"/>
        <v>0.93588465950306299</v>
      </c>
      <c r="C137" s="3">
        <f t="shared" si="10"/>
        <v>4156825.3036488048</v>
      </c>
      <c r="D137" s="3">
        <f t="shared" si="11"/>
        <v>3738.9241228806786</v>
      </c>
      <c r="E137" s="8">
        <f t="shared" si="8"/>
        <v>18.714285714285715</v>
      </c>
      <c r="F137" s="3"/>
      <c r="G137" s="3"/>
      <c r="H137" s="3"/>
    </row>
    <row r="138" spans="1:8" ht="18.5" x14ac:dyDescent="0.45">
      <c r="A138" s="3">
        <v>132</v>
      </c>
      <c r="B138" s="9">
        <f t="shared" si="9"/>
        <v>0.936711645925976</v>
      </c>
      <c r="C138" s="3">
        <f t="shared" si="10"/>
        <v>4160498.4465448149</v>
      </c>
      <c r="D138" s="3">
        <f t="shared" si="11"/>
        <v>3673.1428960100748</v>
      </c>
      <c r="E138" s="8">
        <f t="shared" si="8"/>
        <v>18.857142857142858</v>
      </c>
      <c r="F138" s="3"/>
      <c r="G138" s="3"/>
      <c r="H138" s="3"/>
    </row>
    <row r="139" spans="1:8" ht="18.5" x14ac:dyDescent="0.45">
      <c r="A139" s="3">
        <v>133</v>
      </c>
      <c r="B139" s="9">
        <f t="shared" si="9"/>
        <v>0.9375241563875315</v>
      </c>
      <c r="C139" s="3">
        <f t="shared" si="10"/>
        <v>4164107.2930108598</v>
      </c>
      <c r="D139" s="3">
        <f t="shared" si="11"/>
        <v>3608.8464660448954</v>
      </c>
      <c r="E139" s="8">
        <f t="shared" si="8"/>
        <v>19</v>
      </c>
      <c r="F139" s="3"/>
      <c r="G139" s="3"/>
      <c r="H139" s="3"/>
    </row>
    <row r="140" spans="1:8" ht="18.5" x14ac:dyDescent="0.45">
      <c r="A140" s="3">
        <v>134</v>
      </c>
      <c r="B140" s="9">
        <f t="shared" si="9"/>
        <v>0.9383225158970746</v>
      </c>
      <c r="C140" s="3">
        <f t="shared" si="10"/>
        <v>4167653.2866084464</v>
      </c>
      <c r="D140" s="3">
        <f t="shared" si="11"/>
        <v>3545.9935975866392</v>
      </c>
      <c r="E140" s="8">
        <f t="shared" si="8"/>
        <v>19.142857142857142</v>
      </c>
      <c r="F140" s="3"/>
      <c r="G140" s="3"/>
      <c r="H140" s="3"/>
    </row>
    <row r="141" spans="1:8" ht="18.5" x14ac:dyDescent="0.45">
      <c r="A141" s="3">
        <v>135</v>
      </c>
      <c r="B141" s="9">
        <f t="shared" si="9"/>
        <v>0.93910704048739879</v>
      </c>
      <c r="C141" s="3">
        <f t="shared" si="10"/>
        <v>4171137.8310288303</v>
      </c>
      <c r="D141" s="3">
        <f t="shared" si="11"/>
        <v>3484.5444203838706</v>
      </c>
      <c r="E141" s="8">
        <f t="shared" si="8"/>
        <v>19.285714285714285</v>
      </c>
      <c r="F141" s="3"/>
      <c r="G141" s="3"/>
      <c r="H141" s="3"/>
    </row>
    <row r="142" spans="1:8" ht="18.5" x14ac:dyDescent="0.45">
      <c r="A142" s="3">
        <v>136</v>
      </c>
      <c r="B142" s="9">
        <f t="shared" si="9"/>
        <v>0.93987803751026278</v>
      </c>
      <c r="C142" s="3">
        <f t="shared" si="10"/>
        <v>4174562.2914055833</v>
      </c>
      <c r="D142" s="3">
        <f t="shared" si="11"/>
        <v>3424.4603767530061</v>
      </c>
      <c r="E142" s="8">
        <f t="shared" si="8"/>
        <v>19.428571428571427</v>
      </c>
      <c r="F142" s="3"/>
      <c r="G142" s="3"/>
      <c r="H142" s="3"/>
    </row>
    <row r="143" spans="1:8" ht="18.5" x14ac:dyDescent="0.45">
      <c r="A143" s="3">
        <v>137</v>
      </c>
      <c r="B143" s="9">
        <f t="shared" si="9"/>
        <v>0.94063580592059171</v>
      </c>
      <c r="C143" s="3">
        <f t="shared" si="10"/>
        <v>4177927.9955769</v>
      </c>
      <c r="D143" s="3">
        <f t="shared" si="11"/>
        <v>3365.7041713166982</v>
      </c>
      <c r="E143" s="8">
        <f t="shared" si="8"/>
        <v>19.571428571428573</v>
      </c>
      <c r="F143" s="3"/>
      <c r="G143" s="3"/>
      <c r="H143" s="3"/>
    </row>
    <row r="144" spans="1:8" ht="18.5" x14ac:dyDescent="0.45">
      <c r="A144" s="3">
        <v>138</v>
      </c>
      <c r="B144" s="9">
        <f t="shared" si="9"/>
        <v>0.94138063654985582</v>
      </c>
      <c r="C144" s="3">
        <f t="shared" si="10"/>
        <v>4181236.2352998396</v>
      </c>
      <c r="D144" s="3">
        <f t="shared" si="11"/>
        <v>3308.2397229396738</v>
      </c>
      <c r="E144" s="8">
        <f t="shared" si="8"/>
        <v>19.714285714285715</v>
      </c>
      <c r="F144" s="3"/>
      <c r="G144" s="3"/>
      <c r="H144" s="3"/>
    </row>
    <row r="145" spans="1:8" ht="18.5" x14ac:dyDescent="0.45">
      <c r="A145" s="3">
        <v>139</v>
      </c>
      <c r="B145" s="9">
        <f t="shared" si="9"/>
        <v>0.94211281236909772</v>
      </c>
      <c r="C145" s="3">
        <f t="shared" si="10"/>
        <v>4184488.2674185843</v>
      </c>
      <c r="D145" s="3">
        <f t="shared" si="11"/>
        <v>3252.0321187446825</v>
      </c>
      <c r="E145" s="8">
        <f t="shared" si="8"/>
        <v>19.857142857142858</v>
      </c>
      <c r="F145" s="3"/>
      <c r="G145" s="3"/>
      <c r="H145" s="3"/>
    </row>
    <row r="146" spans="1:8" ht="18.5" x14ac:dyDescent="0.45">
      <c r="A146" s="3">
        <v>140</v>
      </c>
      <c r="B146" s="9">
        <f t="shared" si="9"/>
        <v>0.94283260874205399</v>
      </c>
      <c r="C146" s="3">
        <f t="shared" si="10"/>
        <v>4187685.3149887072</v>
      </c>
      <c r="D146" s="3">
        <f t="shared" si="11"/>
        <v>3197.0475701228715</v>
      </c>
      <c r="E146" s="8">
        <f t="shared" si="8"/>
        <v>20</v>
      </c>
      <c r="F146" s="3"/>
      <c r="G146" s="3"/>
      <c r="H146" s="3"/>
    </row>
    <row r="147" spans="1:8" ht="18.5" x14ac:dyDescent="0.45">
      <c r="A147" s="3">
        <v>141</v>
      </c>
      <c r="B147" s="9">
        <f t="shared" si="9"/>
        <v>0.94354029366879844</v>
      </c>
      <c r="C147" s="3">
        <f t="shared" si="10"/>
        <v>4190828.568359335</v>
      </c>
      <c r="D147" s="3">
        <f t="shared" si="11"/>
        <v>3143.2533706277609</v>
      </c>
      <c r="E147" s="8">
        <f t="shared" si="8"/>
        <v>20.142857142857142</v>
      </c>
      <c r="F147" s="3"/>
      <c r="G147" s="3"/>
      <c r="H147" s="3"/>
    </row>
    <row r="148" spans="1:8" ht="18.5" x14ac:dyDescent="0.45">
      <c r="A148" s="3">
        <v>142</v>
      </c>
      <c r="B148" s="9">
        <f t="shared" si="9"/>
        <v>0.94423612802031065</v>
      </c>
      <c r="C148" s="3">
        <f t="shared" si="10"/>
        <v>4193919.1862150119</v>
      </c>
      <c r="D148" s="3">
        <f t="shared" si="11"/>
        <v>3090.6178556769155</v>
      </c>
      <c r="E148" s="8">
        <f t="shared" si="8"/>
        <v>20.285714285714285</v>
      </c>
      <c r="F148" s="3"/>
      <c r="G148" s="3"/>
      <c r="H148" s="3"/>
    </row>
    <row r="149" spans="1:8" ht="18.5" x14ac:dyDescent="0.45">
      <c r="A149" s="3">
        <v>143</v>
      </c>
      <c r="B149" s="9">
        <f t="shared" si="9"/>
        <v>0.94492036576435656</v>
      </c>
      <c r="C149" s="3">
        <f t="shared" si="10"/>
        <v>4196958.2965789661</v>
      </c>
      <c r="D149" s="3">
        <f t="shared" si="11"/>
        <v>3039.1103639542125</v>
      </c>
      <c r="E149" s="8">
        <f t="shared" si="8"/>
        <v>20.428571428571427</v>
      </c>
      <c r="F149" s="3"/>
      <c r="G149" s="3"/>
      <c r="H149" s="3"/>
    </row>
    <row r="150" spans="1:8" ht="18.5" x14ac:dyDescent="0.45">
      <c r="A150" s="3">
        <v>144</v>
      </c>
      <c r="B150" s="9">
        <f t="shared" si="9"/>
        <v>0.94559325418304685</v>
      </c>
      <c r="C150" s="3">
        <f t="shared" si="10"/>
        <v>4199946.9977794206</v>
      </c>
      <c r="D150" s="3">
        <f t="shared" si="11"/>
        <v>2988.7012004544958</v>
      </c>
      <c r="E150" s="8">
        <f t="shared" si="8"/>
        <v>20.571428571428573</v>
      </c>
      <c r="F150" s="3"/>
      <c r="G150" s="3"/>
      <c r="H150" s="3"/>
    </row>
    <row r="151" spans="1:8" ht="18.5" x14ac:dyDescent="0.45">
      <c r="A151" s="3">
        <v>145</v>
      </c>
      <c r="B151" s="9">
        <f t="shared" si="9"/>
        <v>0.9462550340824234</v>
      </c>
      <c r="C151" s="3">
        <f t="shared" si="10"/>
        <v>4202886.359380492</v>
      </c>
      <c r="D151" s="3">
        <f t="shared" si="11"/>
        <v>2939.3616010714322</v>
      </c>
      <c r="E151" s="8">
        <f t="shared" si="8"/>
        <v>20.714285714285715</v>
      </c>
      <c r="F151" s="3"/>
      <c r="G151" s="3"/>
      <c r="H151" s="3"/>
    </row>
    <row r="152" spans="1:8" ht="18.5" x14ac:dyDescent="0.45">
      <c r="A152" s="3">
        <v>146</v>
      </c>
      <c r="B152" s="9">
        <f t="shared" si="9"/>
        <v>0.9469059399944082</v>
      </c>
      <c r="C152" s="3">
        <f t="shared" si="10"/>
        <v>4205777.4230791638</v>
      </c>
      <c r="D152" s="3">
        <f t="shared" si="11"/>
        <v>2891.0636986717582</v>
      </c>
      <c r="E152" s="8">
        <f t="shared" si="8"/>
        <v>20.857142857142858</v>
      </c>
      <c r="F152" s="3"/>
      <c r="G152" s="3"/>
      <c r="H152" s="3"/>
    </row>
    <row r="153" spans="1:8" ht="18.5" x14ac:dyDescent="0.45">
      <c r="A153" s="3">
        <v>147</v>
      </c>
      <c r="B153" s="9">
        <f t="shared" si="9"/>
        <v>0.94754620037143034</v>
      </c>
      <c r="C153" s="3">
        <f t="shared" si="10"/>
        <v>4208621.2035697447</v>
      </c>
      <c r="D153" s="3">
        <f t="shared" si="11"/>
        <v>2843.7804905809462</v>
      </c>
      <c r="E153" s="8">
        <f t="shared" si="8"/>
        <v>21</v>
      </c>
      <c r="F153" s="3"/>
      <c r="G153" s="3"/>
      <c r="H153" s="3"/>
    </row>
    <row r="154" spans="1:8" ht="18.5" x14ac:dyDescent="0.45">
      <c r="A154" s="3">
        <v>148</v>
      </c>
      <c r="B154" s="9">
        <f t="shared" si="9"/>
        <v>0.94817603777403492</v>
      </c>
      <c r="C154" s="3">
        <f t="shared" si="10"/>
        <v>4211418.6893771533</v>
      </c>
      <c r="D154" s="3">
        <f t="shared" si="11"/>
        <v>2797.4858074085787</v>
      </c>
      <c r="E154" s="8">
        <f t="shared" si="8"/>
        <v>21.142857142857142</v>
      </c>
      <c r="F154" s="3"/>
      <c r="G154" s="3"/>
      <c r="H154" s="3"/>
    </row>
    <row r="155" spans="1:8" ht="18.5" x14ac:dyDescent="0.45">
      <c r="A155" s="3">
        <v>149</v>
      </c>
      <c r="B155" s="9">
        <f t="shared" si="9"/>
        <v>0.94879566905176271</v>
      </c>
      <c r="C155" s="3">
        <f t="shared" si="10"/>
        <v>4214170.843660309</v>
      </c>
      <c r="D155" s="3">
        <f t="shared" si="11"/>
        <v>2752.1542831556872</v>
      </c>
      <c r="E155" s="8">
        <f t="shared" si="8"/>
        <v>21.285714285714285</v>
      </c>
      <c r="F155" s="3"/>
      <c r="G155" s="3"/>
      <c r="H155" s="3"/>
    </row>
    <row r="156" spans="1:8" ht="18.5" x14ac:dyDescent="0.45">
      <c r="A156" s="3">
        <v>150</v>
      </c>
      <c r="B156" s="9">
        <f t="shared" si="9"/>
        <v>0.94940530551757529</v>
      </c>
      <c r="C156" s="3">
        <f t="shared" si="10"/>
        <v>4216878.6049868623</v>
      </c>
      <c r="D156" s="3">
        <f t="shared" si="11"/>
        <v>2707.7613265533</v>
      </c>
      <c r="E156" s="8">
        <f t="shared" si="8"/>
        <v>21.428571428571427</v>
      </c>
      <c r="F156" s="3"/>
      <c r="G156" s="3"/>
      <c r="H156" s="3"/>
    </row>
    <row r="157" spans="1:8" ht="18.5" x14ac:dyDescent="0.45">
      <c r="A157" s="3">
        <v>151</v>
      </c>
      <c r="B157" s="9">
        <f t="shared" si="9"/>
        <v>0.95000515311608835</v>
      </c>
      <c r="C157" s="3">
        <f t="shared" si="10"/>
        <v>4219542.8880804181</v>
      </c>
      <c r="D157" s="3">
        <f t="shared" si="11"/>
        <v>2664.2830935558304</v>
      </c>
      <c r="E157" s="8">
        <f t="shared" si="8"/>
        <v>21.571428571428573</v>
      </c>
      <c r="F157" s="3"/>
      <c r="G157" s="3"/>
      <c r="H157" s="3"/>
    </row>
    <row r="158" spans="1:8" ht="18.5" x14ac:dyDescent="0.45">
      <c r="A158" s="3">
        <v>152</v>
      </c>
      <c r="B158" s="9">
        <f t="shared" si="9"/>
        <v>0.95059541258586477</v>
      </c>
      <c r="C158" s="3">
        <f t="shared" si="10"/>
        <v>4222164.5845413767</v>
      </c>
      <c r="D158" s="3">
        <f t="shared" si="11"/>
        <v>2621.6964609585702</v>
      </c>
      <c r="E158" s="8">
        <f t="shared" si="8"/>
        <v>21.714285714285715</v>
      </c>
      <c r="F158" s="3"/>
      <c r="G158" s="3"/>
      <c r="H158" s="3"/>
    </row>
    <row r="159" spans="1:8" ht="18.5" x14ac:dyDescent="0.45">
      <c r="A159" s="3">
        <v>153</v>
      </c>
      <c r="B159" s="9">
        <f t="shared" si="9"/>
        <v>0.95117627961600526</v>
      </c>
      <c r="C159" s="3">
        <f t="shared" si="10"/>
        <v>4224744.5635424489</v>
      </c>
      <c r="D159" s="3">
        <f t="shared" si="11"/>
        <v>2579.9790010722354</v>
      </c>
      <c r="E159" s="8">
        <f t="shared" si="8"/>
        <v>21.857142857142858</v>
      </c>
      <c r="F159" s="3"/>
      <c r="G159" s="3"/>
      <c r="H159" s="3"/>
    </row>
    <row r="160" spans="1:8" ht="18.5" x14ac:dyDescent="0.45">
      <c r="A160" s="3">
        <v>154</v>
      </c>
      <c r="B160" s="9">
        <f t="shared" si="9"/>
        <v>0.95174794499726711</v>
      </c>
      <c r="C160" s="3">
        <f t="shared" si="10"/>
        <v>4227283.6724998616</v>
      </c>
      <c r="D160" s="3">
        <f t="shared" si="11"/>
        <v>2539.1089574126527</v>
      </c>
      <c r="E160" s="8">
        <f t="shared" si="8"/>
        <v>22</v>
      </c>
      <c r="F160" s="3"/>
      <c r="G160" s="3"/>
      <c r="H160" s="3"/>
    </row>
    <row r="161" spans="1:8" ht="18.5" x14ac:dyDescent="0.45">
      <c r="A161" s="3">
        <v>155</v>
      </c>
      <c r="B161" s="9">
        <f t="shared" si="9"/>
        <v>0.95231059476792557</v>
      </c>
      <c r="C161" s="3">
        <f t="shared" si="10"/>
        <v>4229782.7377212178</v>
      </c>
      <c r="D161" s="3">
        <f t="shared" si="11"/>
        <v>2499.065221356228</v>
      </c>
      <c r="E161" s="8">
        <f t="shared" si="8"/>
        <v>22.142857142857142</v>
      </c>
      <c r="F161" s="3"/>
      <c r="G161" s="3"/>
      <c r="H161" s="3"/>
    </row>
    <row r="162" spans="1:8" ht="18.5" x14ac:dyDescent="0.45">
      <c r="A162" s="3">
        <v>156</v>
      </c>
      <c r="B162" s="9">
        <f t="shared" si="9"/>
        <v>0.95286441035459146</v>
      </c>
      <c r="C162" s="3">
        <f t="shared" si="10"/>
        <v>4232242.5650309538</v>
      </c>
      <c r="D162" s="3">
        <f t="shared" si="11"/>
        <v>2459.8273097360507</v>
      </c>
      <c r="E162" s="8">
        <f t="shared" si="8"/>
        <v>22.285714285714285</v>
      </c>
      <c r="F162" s="3"/>
      <c r="G162" s="3"/>
      <c r="H162" s="3"/>
    </row>
    <row r="163" spans="1:8" ht="18.5" x14ac:dyDescent="0.45">
      <c r="A163" s="3">
        <v>157</v>
      </c>
      <c r="B163" s="9">
        <f t="shared" si="9"/>
        <v>0.95340956870817917</v>
      </c>
      <c r="C163" s="3">
        <f t="shared" si="10"/>
        <v>4234663.9403742487</v>
      </c>
      <c r="D163" s="3">
        <f t="shared" si="11"/>
        <v>2421.3753432948142</v>
      </c>
      <c r="E163" s="8">
        <f t="shared" si="8"/>
        <v>22.428571428571427</v>
      </c>
      <c r="F163" s="3"/>
      <c r="G163" s="3"/>
      <c r="H163" s="3"/>
    </row>
    <row r="164" spans="1:8" ht="18.5" x14ac:dyDescent="0.45">
      <c r="A164" s="3">
        <v>158</v>
      </c>
      <c r="B164" s="9">
        <f t="shared" si="9"/>
        <v>0.95394624243521875</v>
      </c>
      <c r="C164" s="3">
        <f t="shared" si="10"/>
        <v>4237047.6304002674</v>
      </c>
      <c r="D164" s="3">
        <f t="shared" si="11"/>
        <v>2383.6900260187685</v>
      </c>
      <c r="E164" s="8">
        <f t="shared" si="8"/>
        <v>22.571428571428573</v>
      </c>
      <c r="F164" s="3"/>
      <c r="G164" s="3"/>
      <c r="H164" s="3"/>
    </row>
    <row r="165" spans="1:8" ht="18.5" x14ac:dyDescent="0.45">
      <c r="A165" s="3">
        <v>159</v>
      </c>
      <c r="B165" s="9">
        <f t="shared" si="9"/>
        <v>0.95447459992469097</v>
      </c>
      <c r="C165" s="3">
        <f t="shared" si="10"/>
        <v>4239394.3830255074</v>
      </c>
      <c r="D165" s="3">
        <f t="shared" si="11"/>
        <v>2346.752625240013</v>
      </c>
      <c r="E165" s="8">
        <f t="shared" si="8"/>
        <v>22.714285714285715</v>
      </c>
      <c r="F165" s="3"/>
      <c r="G165" s="3"/>
      <c r="H165" s="3"/>
    </row>
    <row r="166" spans="1:8" ht="18.5" x14ac:dyDescent="0.45">
      <c r="A166" s="3">
        <v>160</v>
      </c>
      <c r="B166" s="9">
        <f t="shared" si="9"/>
        <v>0.95499480547056326</v>
      </c>
      <c r="C166" s="3">
        <f t="shared" si="10"/>
        <v>4241704.9279780537</v>
      </c>
      <c r="D166" s="3">
        <f t="shared" si="11"/>
        <v>2310.5449525462463</v>
      </c>
      <c r="E166" s="8">
        <f t="shared" si="8"/>
        <v>22.857142857142858</v>
      </c>
      <c r="F166" s="3"/>
      <c r="G166" s="3"/>
      <c r="H166" s="3"/>
    </row>
    <row r="167" spans="1:8" ht="18.5" x14ac:dyDescent="0.45">
      <c r="A167" s="3">
        <v>161</v>
      </c>
      <c r="B167" s="9">
        <f t="shared" si="9"/>
        <v>0.95550701939018901</v>
      </c>
      <c r="C167" s="3">
        <f t="shared" si="10"/>
        <v>4243979.9773234632</v>
      </c>
      <c r="D167" s="3">
        <f t="shared" si="11"/>
        <v>2275.0493454094976</v>
      </c>
      <c r="E167" s="8">
        <f t="shared" si="8"/>
        <v>23</v>
      </c>
      <c r="F167" s="3"/>
      <c r="G167" s="3"/>
      <c r="H167" s="3"/>
    </row>
    <row r="168" spans="1:8" ht="18.5" x14ac:dyDescent="0.45">
      <c r="A168" s="3">
        <v>162</v>
      </c>
      <c r="B168" s="9">
        <f t="shared" si="9"/>
        <v>0.95601139813873082</v>
      </c>
      <c r="C168" s="3">
        <f t="shared" si="10"/>
        <v>4246220.2259729868</v>
      </c>
      <c r="D168" s="3">
        <f t="shared" si="11"/>
        <v>2240.2486495235935</v>
      </c>
      <c r="E168" s="8">
        <f t="shared" si="8"/>
        <v>23.142857142857142</v>
      </c>
      <c r="F168" s="3"/>
      <c r="G168" s="3"/>
      <c r="H168" s="3"/>
    </row>
    <row r="169" spans="1:8" ht="18.5" x14ac:dyDescent="0.45">
      <c r="A169" s="3">
        <v>163</v>
      </c>
      <c r="B169" s="9">
        <f t="shared" si="9"/>
        <v>0.95650809441976148</v>
      </c>
      <c r="C169" s="3">
        <f t="shared" si="10"/>
        <v>4248426.3521748129</v>
      </c>
      <c r="D169" s="3">
        <f t="shared" si="11"/>
        <v>2206.1262018261477</v>
      </c>
      <c r="E169" s="8">
        <f t="shared" si="8"/>
        <v>23.285714285714285</v>
      </c>
      <c r="F169" s="3"/>
      <c r="G169" s="3"/>
      <c r="H169" s="3"/>
    </row>
    <row r="170" spans="1:8" ht="18.5" x14ac:dyDescent="0.45">
      <c r="A170" s="3">
        <v>164</v>
      </c>
      <c r="B170" s="9">
        <f t="shared" si="9"/>
        <v>0.95699725729218466</v>
      </c>
      <c r="C170" s="3">
        <f t="shared" si="10"/>
        <v>4250599.0179889677</v>
      </c>
      <c r="D170" s="3">
        <f t="shared" si="11"/>
        <v>2172.6658141547814</v>
      </c>
      <c r="E170" s="8">
        <f t="shared" si="8"/>
        <v>23.428571428571427</v>
      </c>
      <c r="F170" s="3"/>
      <c r="G170" s="3"/>
      <c r="H170" s="3"/>
    </row>
    <row r="171" spans="1:8" ht="18.5" x14ac:dyDescent="0.45">
      <c r="A171" s="3">
        <v>165</v>
      </c>
      <c r="B171" s="9">
        <f t="shared" si="9"/>
        <v>0.95747903227361908</v>
      </c>
      <c r="C171" s="3">
        <f t="shared" si="10"/>
        <v>4252738.8697465062</v>
      </c>
      <c r="D171" s="3">
        <f t="shared" si="11"/>
        <v>2139.8517575385049</v>
      </c>
      <c r="E171" s="8">
        <f t="shared" si="8"/>
        <v>23.571428571428573</v>
      </c>
      <c r="F171" s="3"/>
      <c r="G171" s="3"/>
      <c r="H171" s="3"/>
    </row>
    <row r="172" spans="1:8" ht="18.5" x14ac:dyDescent="0.45">
      <c r="A172" s="3">
        <v>166</v>
      </c>
      <c r="B172" s="9">
        <f t="shared" si="9"/>
        <v>0.95795356144037669</v>
      </c>
      <c r="C172" s="3">
        <f t="shared" si="10"/>
        <v>4254846.5384935774</v>
      </c>
      <c r="D172" s="3">
        <f t="shared" si="11"/>
        <v>2107.6687470711768</v>
      </c>
      <c r="E172" s="8">
        <f t="shared" si="8"/>
        <v>23.714285714285715</v>
      </c>
      <c r="F172" s="3"/>
      <c r="G172" s="3"/>
      <c r="H172" s="3"/>
    </row>
    <row r="173" spans="1:8" ht="18.5" x14ac:dyDescent="0.45">
      <c r="A173" s="3">
        <v>167</v>
      </c>
      <c r="B173" s="9">
        <f t="shared" si="9"/>
        <v>0.95842098352416283</v>
      </c>
      <c r="C173" s="3">
        <f t="shared" si="10"/>
        <v>4256922.6404209221</v>
      </c>
      <c r="D173" s="3">
        <f t="shared" si="11"/>
        <v>2076.1019273446873</v>
      </c>
      <c r="E173" s="8">
        <f t="shared" si="8"/>
        <v>23.857142857142858</v>
      </c>
      <c r="F173" s="3"/>
      <c r="G173" s="3"/>
      <c r="H173" s="3"/>
    </row>
    <row r="174" spans="1:8" ht="18.5" x14ac:dyDescent="0.45">
      <c r="A174" s="3">
        <v>168</v>
      </c>
      <c r="B174" s="9">
        <f t="shared" si="9"/>
        <v>0.95888143400562287</v>
      </c>
      <c r="C174" s="3">
        <f t="shared" si="10"/>
        <v>4258967.7772793742</v>
      </c>
      <c r="D174" s="3">
        <f t="shared" si="11"/>
        <v>2045.1368584521115</v>
      </c>
      <c r="E174" s="8">
        <f t="shared" si="8"/>
        <v>24</v>
      </c>
      <c r="F174" s="3"/>
      <c r="G174" s="3"/>
      <c r="H174" s="3"/>
    </row>
    <row r="175" spans="1:8" ht="18.5" x14ac:dyDescent="0.45">
      <c r="A175" s="3">
        <v>169</v>
      </c>
      <c r="B175" s="9">
        <f t="shared" si="9"/>
        <v>0.95933504520485113</v>
      </c>
      <c r="C175" s="3">
        <f t="shared" si="10"/>
        <v>4260982.536781867</v>
      </c>
      <c r="D175" s="3">
        <f t="shared" si="11"/>
        <v>2014.7595024928451</v>
      </c>
      <c r="E175" s="8">
        <f t="shared" si="8"/>
        <v>24.142857142857142</v>
      </c>
      <c r="F175" s="3"/>
      <c r="G175" s="3"/>
      <c r="H175" s="3"/>
    </row>
    <row r="176" spans="1:8" ht="18.5" x14ac:dyDescent="0.45">
      <c r="A176" s="3">
        <v>170</v>
      </c>
      <c r="B176" s="9">
        <f t="shared" si="9"/>
        <v>0.95978194636897385</v>
      </c>
      <c r="C176" s="3">
        <f t="shared" si="10"/>
        <v>4262967.4929924347</v>
      </c>
      <c r="D176" s="3">
        <f t="shared" si="11"/>
        <v>1984.9562105676159</v>
      </c>
      <c r="E176" s="8">
        <f t="shared" si="8"/>
        <v>24.285714285714285</v>
      </c>
      <c r="F176" s="3"/>
      <c r="G176" s="3"/>
      <c r="H176" s="3"/>
    </row>
    <row r="177" spans="1:8" ht="18.5" x14ac:dyDescent="0.45">
      <c r="A177" s="3">
        <v>171</v>
      </c>
      <c r="B177" s="9">
        <f t="shared" si="9"/>
        <v>0.96022226375691566</v>
      </c>
      <c r="C177" s="3">
        <f t="shared" si="10"/>
        <v>4264923.2067027166</v>
      </c>
      <c r="D177" s="3">
        <f t="shared" si="11"/>
        <v>1955.7137102819979</v>
      </c>
      <c r="E177" s="8">
        <f t="shared" si="8"/>
        <v>24.428571428571427</v>
      </c>
      <c r="F177" s="3"/>
      <c r="G177" s="3"/>
      <c r="H177" s="3"/>
    </row>
    <row r="178" spans="1:8" ht="18.5" x14ac:dyDescent="0.45">
      <c r="A178" s="3">
        <v>172</v>
      </c>
      <c r="B178" s="9">
        <f t="shared" si="9"/>
        <v>0.9606561207214519</v>
      </c>
      <c r="C178" s="3">
        <f t="shared" si="10"/>
        <v>4266850.2257964006</v>
      </c>
      <c r="D178" s="3">
        <f t="shared" si="11"/>
        <v>1927.0190936839208</v>
      </c>
      <c r="E178" s="8">
        <f t="shared" si="8"/>
        <v>24.571428571428573</v>
      </c>
      <c r="F178" s="3"/>
      <c r="G178" s="3"/>
      <c r="H178" s="3"/>
    </row>
    <row r="179" spans="1:8" ht="18.5" x14ac:dyDescent="0.45">
      <c r="A179" s="3">
        <v>173</v>
      </c>
      <c r="B179" s="9">
        <f t="shared" si="9"/>
        <v>0.96108363778864603</v>
      </c>
      <c r="C179" s="3">
        <f t="shared" si="10"/>
        <v>4268749.0856020506</v>
      </c>
      <c r="D179" s="3">
        <f t="shared" si="11"/>
        <v>1898.8598056500778</v>
      </c>
      <c r="E179" s="8">
        <f t="shared" si="8"/>
        <v>24.714285714285715</v>
      </c>
      <c r="F179" s="3"/>
      <c r="G179" s="3"/>
      <c r="H179" s="3"/>
    </row>
    <row r="180" spans="1:8" ht="18.5" x14ac:dyDescent="0.45">
      <c r="A180" s="3">
        <v>174</v>
      </c>
      <c r="B180" s="9">
        <f t="shared" si="9"/>
        <v>0.96150493273476634</v>
      </c>
      <c r="C180" s="3">
        <f t="shared" si="10"/>
        <v>4270620.3092347383</v>
      </c>
      <c r="D180" s="3">
        <f t="shared" si="11"/>
        <v>1871.2236326877028</v>
      </c>
      <c r="E180" s="8">
        <f t="shared" si="8"/>
        <v>24.857142857142858</v>
      </c>
      <c r="F180" s="3"/>
      <c r="G180" s="3"/>
      <c r="H180" s="3"/>
    </row>
    <row r="181" spans="1:8" ht="18.5" x14ac:dyDescent="0.45">
      <c r="A181" s="3">
        <v>175</v>
      </c>
      <c r="B181" s="9">
        <f t="shared" si="9"/>
        <v>0.96192012066077492</v>
      </c>
      <c r="C181" s="3">
        <f t="shared" si="10"/>
        <v>4272464.4079268975</v>
      </c>
      <c r="D181" s="3">
        <f t="shared" si="11"/>
        <v>1844.0986921591684</v>
      </c>
      <c r="E181" s="8">
        <f t="shared" si="8"/>
        <v>25</v>
      </c>
      <c r="F181" s="3"/>
      <c r="G181" s="3"/>
      <c r="H181" s="3"/>
    </row>
    <row r="182" spans="1:8" ht="18.5" x14ac:dyDescent="0.45">
      <c r="A182" s="3">
        <v>176</v>
      </c>
      <c r="B182" s="9">
        <f t="shared" si="9"/>
        <v>0.96232931406447375</v>
      </c>
      <c r="C182" s="3">
        <f t="shared" si="10"/>
        <v>4274281.8813487664</v>
      </c>
      <c r="D182" s="3">
        <f t="shared" si="11"/>
        <v>1817.4734218688682</v>
      </c>
      <c r="E182" s="8">
        <f t="shared" si="8"/>
        <v>25.142857142857142</v>
      </c>
      <c r="F182" s="3"/>
      <c r="G182" s="3"/>
      <c r="H182" s="3"/>
    </row>
    <row r="183" spans="1:8" ht="18.5" x14ac:dyDescent="0.45">
      <c r="A183" s="3">
        <v>177</v>
      </c>
      <c r="B183" s="9">
        <f t="shared" si="9"/>
        <v>0.96273262291039496</v>
      </c>
      <c r="C183" s="3">
        <f t="shared" si="10"/>
        <v>4276073.2179188104</v>
      </c>
      <c r="D183" s="3">
        <f t="shared" si="11"/>
        <v>1791.3365700440481</v>
      </c>
      <c r="E183" s="8">
        <f t="shared" si="8"/>
        <v>25.285714285714285</v>
      </c>
      <c r="F183" s="3"/>
      <c r="G183" s="3"/>
      <c r="H183" s="3"/>
    </row>
    <row r="184" spans="1:8" ht="18.5" x14ac:dyDescent="0.45">
      <c r="A184" s="3">
        <v>178</v>
      </c>
      <c r="B184" s="9">
        <f t="shared" si="9"/>
        <v>0.96313015469751195</v>
      </c>
      <c r="C184" s="3">
        <f t="shared" si="10"/>
        <v>4277838.8951044688</v>
      </c>
      <c r="D184" s="3">
        <f t="shared" si="11"/>
        <v>1765.6771856583655</v>
      </c>
      <c r="E184" s="8">
        <f t="shared" si="8"/>
        <v>25.428571428571427</v>
      </c>
      <c r="F184" s="3"/>
      <c r="G184" s="3"/>
      <c r="H184" s="3"/>
    </row>
    <row r="185" spans="1:8" ht="18.5" x14ac:dyDescent="0.45">
      <c r="A185" s="3">
        <v>179</v>
      </c>
      <c r="B185" s="9">
        <f t="shared" si="9"/>
        <v>0.9635220145248522</v>
      </c>
      <c r="C185" s="3">
        <f t="shared" si="10"/>
        <v>4279579.3797135837</v>
      </c>
      <c r="D185" s="3">
        <f t="shared" si="11"/>
        <v>1740.4846091149375</v>
      </c>
      <c r="E185" s="8">
        <f t="shared" si="8"/>
        <v>25.571428571428573</v>
      </c>
      <c r="F185" s="3"/>
      <c r="G185" s="3"/>
      <c r="H185" s="3"/>
    </row>
    <row r="186" spans="1:8" ht="18.5" x14ac:dyDescent="0.45">
      <c r="A186" s="3">
        <v>180</v>
      </c>
      <c r="B186" s="9">
        <f t="shared" si="9"/>
        <v>0.96390830515508374</v>
      </c>
      <c r="C186" s="3">
        <f t="shared" si="10"/>
        <v>4281295.1281768195</v>
      </c>
      <c r="D186" s="3">
        <f t="shared" si="11"/>
        <v>1715.7484632357955</v>
      </c>
      <c r="E186" s="8">
        <f t="shared" si="8"/>
        <v>25.714285714285715</v>
      </c>
      <c r="F186" s="3"/>
      <c r="G186" s="3"/>
      <c r="H186" s="3"/>
    </row>
    <row r="187" spans="1:8" ht="18.5" x14ac:dyDescent="0.45">
      <c r="A187" s="3">
        <v>181</v>
      </c>
      <c r="B187" s="9">
        <f t="shared" si="9"/>
        <v>0.96428912707614733</v>
      </c>
      <c r="C187" s="3">
        <f t="shared" si="10"/>
        <v>4282986.5868214164</v>
      </c>
      <c r="D187" s="3">
        <f t="shared" si="11"/>
        <v>1691.4586445968598</v>
      </c>
      <c r="E187" s="8">
        <f t="shared" si="8"/>
        <v>25.857142857142858</v>
      </c>
      <c r="F187" s="3"/>
      <c r="G187" s="3"/>
      <c r="H187" s="3"/>
    </row>
    <row r="188" spans="1:8" ht="18.5" x14ac:dyDescent="0.45">
      <c r="A188" s="3">
        <v>182</v>
      </c>
      <c r="B188" s="9">
        <f t="shared" si="9"/>
        <v>0.96466457856100285</v>
      </c>
      <c r="C188" s="3">
        <f t="shared" si="10"/>
        <v>4284654.1921365503</v>
      </c>
      <c r="D188" s="3">
        <f t="shared" si="11"/>
        <v>1667.6053151339293</v>
      </c>
      <c r="E188" s="8">
        <f t="shared" si="8"/>
        <v>26</v>
      </c>
      <c r="F188" s="3"/>
      <c r="G188" s="3"/>
      <c r="H188" s="3"/>
    </row>
    <row r="189" spans="1:8" ht="18.5" x14ac:dyDescent="0.45">
      <c r="A189" s="3">
        <v>183</v>
      </c>
      <c r="B189" s="9">
        <f t="shared" si="9"/>
        <v>0.96503475572555519</v>
      </c>
      <c r="C189" s="3">
        <f t="shared" si="10"/>
        <v>4286298.3710306259</v>
      </c>
      <c r="D189" s="3">
        <f t="shared" si="11"/>
        <v>1644.178894075565</v>
      </c>
      <c r="E189" s="8">
        <f t="shared" si="8"/>
        <v>26.142857142857142</v>
      </c>
      <c r="F189" s="3"/>
      <c r="G189" s="3"/>
      <c r="H189" s="3"/>
    </row>
    <row r="190" spans="1:8" ht="18.5" x14ac:dyDescent="0.45">
      <c r="A190" s="3">
        <v>184</v>
      </c>
      <c r="B190" s="9">
        <f t="shared" si="9"/>
        <v>0.96539975258482336</v>
      </c>
      <c r="C190" s="3">
        <f t="shared" si="10"/>
        <v>4287919.5410807515</v>
      </c>
      <c r="D190" s="3">
        <f t="shared" si="11"/>
        <v>1621.1700501255691</v>
      </c>
      <c r="E190" s="8">
        <f t="shared" si="8"/>
        <v>26.285714285714285</v>
      </c>
      <c r="F190" s="3"/>
      <c r="G190" s="3"/>
      <c r="H190" s="3"/>
    </row>
    <row r="191" spans="1:8" ht="18.5" x14ac:dyDescent="0.45">
      <c r="A191" s="3">
        <v>185</v>
      </c>
      <c r="B191" s="9">
        <f t="shared" si="9"/>
        <v>0.96575966110741329</v>
      </c>
      <c r="C191" s="3">
        <f t="shared" si="10"/>
        <v>4289518.1107746866</v>
      </c>
      <c r="D191" s="3">
        <f t="shared" si="11"/>
        <v>1598.5696939351037</v>
      </c>
      <c r="E191" s="8">
        <f t="shared" si="8"/>
        <v>26.428571428571427</v>
      </c>
      <c r="F191" s="3"/>
      <c r="G191" s="3"/>
      <c r="H191" s="3"/>
    </row>
    <row r="192" spans="1:8" ht="18.5" x14ac:dyDescent="0.45">
      <c r="A192" s="3">
        <v>186</v>
      </c>
      <c r="B192" s="9">
        <f t="shared" si="9"/>
        <v>0.96611457126835243</v>
      </c>
      <c r="C192" s="3">
        <f t="shared" si="10"/>
        <v>4291094.4797455138</v>
      </c>
      <c r="D192" s="3">
        <f t="shared" si="11"/>
        <v>1576.3689708271995</v>
      </c>
      <c r="E192" s="8">
        <f t="shared" si="8"/>
        <v>26.571428571428573</v>
      </c>
      <c r="F192" s="3"/>
      <c r="G192" s="3"/>
      <c r="H192" s="3"/>
    </row>
    <row r="193" spans="1:8" ht="18.5" x14ac:dyDescent="0.45">
      <c r="A193" s="3">
        <v>187</v>
      </c>
      <c r="B193" s="9">
        <f t="shared" si="9"/>
        <v>0.96646457110034267</v>
      </c>
      <c r="C193" s="3">
        <f t="shared" si="10"/>
        <v>4292649.0389992818</v>
      </c>
      <c r="D193" s="3">
        <f t="shared" si="11"/>
        <v>1554.5592537680641</v>
      </c>
      <c r="E193" s="8">
        <f t="shared" si="8"/>
        <v>26.714285714285715</v>
      </c>
      <c r="F193" s="3"/>
      <c r="G193" s="3"/>
      <c r="H193" s="3"/>
    </row>
    <row r="194" spans="1:8" ht="18.5" x14ac:dyDescent="0.45">
      <c r="A194" s="3">
        <v>188</v>
      </c>
      <c r="B194" s="9">
        <f t="shared" si="9"/>
        <v>0.96680974674348552</v>
      </c>
      <c r="C194" s="3">
        <f t="shared" si="10"/>
        <v>4294182.1711358652</v>
      </c>
      <c r="D194" s="3">
        <f t="shared" si="11"/>
        <v>1533.1321365833282</v>
      </c>
      <c r="E194" s="8">
        <f t="shared" si="8"/>
        <v>26.857142857142858</v>
      </c>
      <c r="F194" s="3"/>
      <c r="G194" s="3"/>
      <c r="H194" s="3"/>
    </row>
    <row r="195" spans="1:8" ht="18.5" x14ac:dyDescent="0.45">
      <c r="A195" s="3">
        <v>189</v>
      </c>
      <c r="B195" s="9">
        <f t="shared" si="9"/>
        <v>0.96715018249353057</v>
      </c>
      <c r="C195" s="3">
        <f t="shared" si="10"/>
        <v>4295694.2505632658</v>
      </c>
      <c r="D195" s="3">
        <f t="shared" si="11"/>
        <v>1512.0794274006039</v>
      </c>
      <c r="E195" s="8">
        <f t="shared" si="8"/>
        <v>27</v>
      </c>
      <c r="F195" s="3"/>
      <c r="G195" s="3"/>
      <c r="H195" s="3"/>
    </row>
    <row r="196" spans="1:8" ht="18.5" x14ac:dyDescent="0.45">
      <c r="A196" s="3">
        <v>190</v>
      </c>
      <c r="B196" s="9">
        <f t="shared" si="9"/>
        <v>0.96748596084869876</v>
      </c>
      <c r="C196" s="3">
        <f t="shared" si="10"/>
        <v>4297185.6437055804</v>
      </c>
      <c r="D196" s="3">
        <f t="shared" si="11"/>
        <v>1491.3931423146278</v>
      </c>
      <c r="E196" s="8">
        <f t="shared" si="8"/>
        <v>27.142857142857142</v>
      </c>
      <c r="F196" s="3"/>
      <c r="G196" s="3"/>
      <c r="H196" s="3"/>
    </row>
    <row r="197" spans="1:8" ht="18.5" x14ac:dyDescent="0.45">
      <c r="A197" s="3">
        <v>191</v>
      </c>
      <c r="B197" s="9">
        <f t="shared" si="9"/>
        <v>0.96781716255512695</v>
      </c>
      <c r="C197" s="3">
        <f t="shared" si="10"/>
        <v>4298656.7092048516</v>
      </c>
      <c r="D197" s="3">
        <f t="shared" si="11"/>
        <v>1471.0654992712662</v>
      </c>
      <c r="E197" s="8">
        <f t="shared" si="8"/>
        <v>27.285714285714285</v>
      </c>
      <c r="F197" s="3"/>
      <c r="G197" s="3"/>
      <c r="H197" s="3"/>
    </row>
    <row r="198" spans="1:8" ht="18.5" x14ac:dyDescent="0.45">
      <c r="A198" s="3">
        <v>192</v>
      </c>
      <c r="B198" s="9">
        <f t="shared" si="9"/>
        <v>0.96814386665098062</v>
      </c>
      <c r="C198" s="3">
        <f t="shared" si="10"/>
        <v>4300107.798116996</v>
      </c>
      <c r="D198" s="3">
        <f t="shared" si="11"/>
        <v>1451.0889121443033</v>
      </c>
      <c r="E198" s="8">
        <f t="shared" si="8"/>
        <v>27.428571428571427</v>
      </c>
      <c r="F198" s="3"/>
      <c r="G198" s="3"/>
      <c r="H198" s="3"/>
    </row>
    <row r="199" spans="1:8" ht="18.5" x14ac:dyDescent="0.45">
      <c r="A199" s="3">
        <v>193</v>
      </c>
      <c r="B199" s="9">
        <f t="shared" si="9"/>
        <v>0.96846615050927909</v>
      </c>
      <c r="C199" s="3">
        <f t="shared" si="10"/>
        <v>4301539.254102014</v>
      </c>
      <c r="D199" s="3">
        <f t="shared" si="11"/>
        <v>1431.4559850180522</v>
      </c>
      <c r="E199" s="8">
        <f t="shared" ref="E199:E262" si="12">A199/7</f>
        <v>27.571428571428573</v>
      </c>
      <c r="F199" s="3"/>
      <c r="G199" s="3"/>
      <c r="H199" s="3"/>
    </row>
    <row r="200" spans="1:8" ht="18.5" x14ac:dyDescent="0.45">
      <c r="A200" s="3">
        <v>194</v>
      </c>
      <c r="B200" s="9">
        <f t="shared" ref="B200:B263" si="13">LOGNORMDIST(A200,$A$3,$B$3)</f>
        <v>0.9687840898794764</v>
      </c>
      <c r="C200" s="3">
        <f t="shared" ref="C200:C263" si="14">$E$3*B200</f>
        <v>4302951.4136086823</v>
      </c>
      <c r="D200" s="3">
        <f t="shared" ref="D200:D263" si="15">C200-C199</f>
        <v>1412.1595066683367</v>
      </c>
      <c r="E200" s="8">
        <f t="shared" si="12"/>
        <v>27.714285714285715</v>
      </c>
      <c r="F200" s="3"/>
      <c r="G200" s="3"/>
      <c r="H200" s="3"/>
    </row>
    <row r="201" spans="1:8" ht="18.5" x14ac:dyDescent="0.45">
      <c r="A201" s="3">
        <v>195</v>
      </c>
      <c r="B201" s="9">
        <f t="shared" si="13"/>
        <v>0.96909775892783812</v>
      </c>
      <c r="C201" s="3">
        <f t="shared" si="14"/>
        <v>4304344.606053886</v>
      </c>
      <c r="D201" s="3">
        <f t="shared" si="15"/>
        <v>1393.1924452036619</v>
      </c>
      <c r="E201" s="8">
        <f t="shared" si="12"/>
        <v>27.857142857142858</v>
      </c>
      <c r="F201" s="3"/>
      <c r="G201" s="3"/>
      <c r="H201" s="3"/>
    </row>
    <row r="202" spans="1:8" ht="18.5" x14ac:dyDescent="0.45">
      <c r="A202" s="3">
        <v>196</v>
      </c>
      <c r="B202" s="9">
        <f t="shared" si="13"/>
        <v>0.96940723027665487</v>
      </c>
      <c r="C202" s="3">
        <f t="shared" si="14"/>
        <v>4305719.1539967898</v>
      </c>
      <c r="D202" s="3">
        <f t="shared" si="15"/>
        <v>1374.5479429038242</v>
      </c>
      <c r="E202" s="8">
        <f t="shared" si="12"/>
        <v>28</v>
      </c>
      <c r="F202" s="3"/>
      <c r="G202" s="3"/>
      <c r="H202" s="3"/>
    </row>
    <row r="203" spans="1:8" ht="18.5" x14ac:dyDescent="0.45">
      <c r="A203" s="3">
        <v>197</v>
      </c>
      <c r="B203" s="9">
        <f t="shared" si="13"/>
        <v>0.96971257504232999</v>
      </c>
      <c r="C203" s="3">
        <f t="shared" si="14"/>
        <v>4307075.3733080132</v>
      </c>
      <c r="D203" s="3">
        <f t="shared" si="15"/>
        <v>1356.2193112233654</v>
      </c>
      <c r="E203" s="8">
        <f t="shared" si="12"/>
        <v>28.142857142857142</v>
      </c>
      <c r="F203" s="3"/>
      <c r="G203" s="3"/>
      <c r="H203" s="3"/>
    </row>
    <row r="204" spans="1:8" ht="18.5" x14ac:dyDescent="0.45">
      <c r="A204" s="3">
        <v>198</v>
      </c>
      <c r="B204" s="9">
        <f t="shared" si="13"/>
        <v>0.97001386287237823</v>
      </c>
      <c r="C204" s="3">
        <f t="shared" si="14"/>
        <v>4308413.5733339554</v>
      </c>
      <c r="D204" s="3">
        <f t="shared" si="15"/>
        <v>1338.2000259421766</v>
      </c>
      <c r="E204" s="8">
        <f t="shared" si="12"/>
        <v>28.285714285714285</v>
      </c>
      <c r="F204" s="3"/>
      <c r="G204" s="3"/>
      <c r="H204" s="3"/>
    </row>
    <row r="205" spans="1:8" ht="18.5" x14ac:dyDescent="0.45">
      <c r="A205" s="3">
        <v>199</v>
      </c>
      <c r="B205" s="9">
        <f t="shared" si="13"/>
        <v>0.97031116198137146</v>
      </c>
      <c r="C205" s="3">
        <f t="shared" si="14"/>
        <v>4309734.0570564596</v>
      </c>
      <c r="D205" s="3">
        <f t="shared" si="15"/>
        <v>1320.4837225042284</v>
      </c>
      <c r="E205" s="8">
        <f t="shared" si="12"/>
        <v>28.428571428571427</v>
      </c>
      <c r="F205" s="3"/>
      <c r="G205" s="3"/>
      <c r="H205" s="3"/>
    </row>
    <row r="206" spans="1:8" ht="18.5" x14ac:dyDescent="0.45">
      <c r="A206" s="3">
        <v>200</v>
      </c>
      <c r="B206" s="9">
        <f t="shared" si="13"/>
        <v>0.97060453918586453</v>
      </c>
      <c r="C206" s="3">
        <f t="shared" si="14"/>
        <v>4311037.121247936</v>
      </c>
      <c r="D206" s="3">
        <f t="shared" si="15"/>
        <v>1303.0641914764419</v>
      </c>
      <c r="E206" s="8">
        <f t="shared" si="12"/>
        <v>28.571428571428573</v>
      </c>
      <c r="F206" s="3"/>
      <c r="G206" s="3"/>
      <c r="H206" s="3"/>
    </row>
    <row r="207" spans="1:8" ht="18.5" x14ac:dyDescent="0.45">
      <c r="A207" s="3">
        <v>201</v>
      </c>
      <c r="B207" s="9">
        <f t="shared" si="13"/>
        <v>0.97089405993833555</v>
      </c>
      <c r="C207" s="3">
        <f t="shared" si="14"/>
        <v>4312323.0566221112</v>
      </c>
      <c r="D207" s="3">
        <f t="shared" si="15"/>
        <v>1285.9353741751984</v>
      </c>
      <c r="E207" s="8">
        <f t="shared" si="12"/>
        <v>28.714285714285715</v>
      </c>
      <c r="F207" s="3"/>
      <c r="G207" s="3"/>
      <c r="H207" s="3"/>
    </row>
    <row r="208" spans="1:8" ht="18.5" x14ac:dyDescent="0.45">
      <c r="A208" s="3">
        <v>202</v>
      </c>
      <c r="B208" s="9">
        <f t="shared" si="13"/>
        <v>0.97117978836017071</v>
      </c>
      <c r="C208" s="3">
        <f t="shared" si="14"/>
        <v>4313592.1479805345</v>
      </c>
      <c r="D208" s="3">
        <f t="shared" si="15"/>
        <v>1269.091358423233</v>
      </c>
      <c r="E208" s="8">
        <f t="shared" si="12"/>
        <v>28.857142857142858</v>
      </c>
      <c r="F208" s="3"/>
      <c r="G208" s="3"/>
      <c r="H208" s="3"/>
    </row>
    <row r="209" spans="1:8" ht="18.5" x14ac:dyDescent="0.45">
      <c r="A209" s="3">
        <v>203</v>
      </c>
      <c r="B209" s="9">
        <f t="shared" si="13"/>
        <v>0.97146178727372556</v>
      </c>
      <c r="C209" s="3">
        <f t="shared" si="14"/>
        <v>4314844.6743549798</v>
      </c>
      <c r="D209" s="3">
        <f t="shared" si="15"/>
        <v>1252.5263744452968</v>
      </c>
      <c r="E209" s="8">
        <f t="shared" si="12"/>
        <v>29</v>
      </c>
      <c r="F209" s="3"/>
      <c r="G209" s="3"/>
      <c r="H209" s="3"/>
    </row>
    <row r="210" spans="1:8" ht="18.5" x14ac:dyDescent="0.45">
      <c r="A210" s="3">
        <v>204</v>
      </c>
      <c r="B210" s="9">
        <f t="shared" si="13"/>
        <v>0.97174011823349193</v>
      </c>
      <c r="C210" s="3">
        <f t="shared" si="14"/>
        <v>4316080.9091458777</v>
      </c>
      <c r="D210" s="3">
        <f t="shared" si="15"/>
        <v>1236.2347908979282</v>
      </c>
      <c r="E210" s="8">
        <f t="shared" si="12"/>
        <v>29.142857142857142</v>
      </c>
      <c r="F210" s="3"/>
      <c r="G210" s="3"/>
      <c r="H210" s="3"/>
    </row>
    <row r="211" spans="1:8" ht="18.5" x14ac:dyDescent="0.45">
      <c r="A211" s="3">
        <v>205</v>
      </c>
      <c r="B211" s="9">
        <f t="shared" si="13"/>
        <v>0.97201484155639761</v>
      </c>
      <c r="C211" s="3">
        <f t="shared" si="14"/>
        <v>4317301.1202568952</v>
      </c>
      <c r="D211" s="3">
        <f t="shared" si="15"/>
        <v>1220.2111110175028</v>
      </c>
      <c r="E211" s="8">
        <f t="shared" si="12"/>
        <v>29.285714285714285</v>
      </c>
      <c r="F211" s="3"/>
      <c r="G211" s="3"/>
      <c r="H211" s="3"/>
    </row>
    <row r="212" spans="1:8" ht="18.5" x14ac:dyDescent="0.45">
      <c r="A212" s="3">
        <v>206</v>
      </c>
      <c r="B212" s="9">
        <f t="shared" si="13"/>
        <v>0.97228601635126843</v>
      </c>
      <c r="C212" s="3">
        <f t="shared" si="14"/>
        <v>4318505.5702257939</v>
      </c>
      <c r="D212" s="3">
        <f t="shared" si="15"/>
        <v>1204.4499688986689</v>
      </c>
      <c r="E212" s="8">
        <f t="shared" si="12"/>
        <v>29.428571428571427</v>
      </c>
      <c r="F212" s="3"/>
      <c r="G212" s="3"/>
      <c r="H212" s="3"/>
    </row>
    <row r="213" spans="1:8" ht="18.5" x14ac:dyDescent="0.45">
      <c r="A213" s="3">
        <v>207</v>
      </c>
      <c r="B213" s="9">
        <f t="shared" si="13"/>
        <v>0.97255370054747714</v>
      </c>
      <c r="C213" s="3">
        <f t="shared" si="14"/>
        <v>4319694.5163516747</v>
      </c>
      <c r="D213" s="3">
        <f t="shared" si="15"/>
        <v>1188.9461258808151</v>
      </c>
      <c r="E213" s="8">
        <f t="shared" si="12"/>
        <v>29.571428571428573</v>
      </c>
      <c r="F213" s="3"/>
      <c r="G213" s="3"/>
      <c r="H213" s="3"/>
    </row>
    <row r="214" spans="1:8" ht="18.5" x14ac:dyDescent="0.45">
      <c r="A214" s="3">
        <v>208</v>
      </c>
      <c r="B214" s="9">
        <f t="shared" si="13"/>
        <v>0.97281795092280643</v>
      </c>
      <c r="C214" s="3">
        <f t="shared" si="14"/>
        <v>4320868.2108187368</v>
      </c>
      <c r="D214" s="3">
        <f t="shared" si="15"/>
        <v>1173.6944670621306</v>
      </c>
      <c r="E214" s="8">
        <f t="shared" si="12"/>
        <v>29.714285714285715</v>
      </c>
      <c r="F214" s="3"/>
      <c r="G214" s="3"/>
      <c r="H214" s="3"/>
    </row>
    <row r="215" spans="1:8" ht="18.5" x14ac:dyDescent="0.45">
      <c r="A215" s="3">
        <v>209</v>
      </c>
      <c r="B215" s="9">
        <f t="shared" si="13"/>
        <v>0.97307882313054783</v>
      </c>
      <c r="C215" s="3">
        <f t="shared" si="14"/>
        <v>4322026.9008166408</v>
      </c>
      <c r="D215" s="3">
        <f t="shared" si="15"/>
        <v>1158.6899979040027</v>
      </c>
      <c r="E215" s="8">
        <f t="shared" si="12"/>
        <v>29.857142857142858</v>
      </c>
      <c r="F215" s="3"/>
      <c r="G215" s="3"/>
      <c r="H215" s="3"/>
    </row>
    <row r="216" spans="1:8" ht="18.5" x14ac:dyDescent="0.45">
      <c r="A216" s="3">
        <v>210</v>
      </c>
      <c r="B216" s="9">
        <f t="shared" si="13"/>
        <v>0.97333637172586462</v>
      </c>
      <c r="C216" s="3">
        <f t="shared" si="14"/>
        <v>4323170.8286576001</v>
      </c>
      <c r="D216" s="3">
        <f t="shared" si="15"/>
        <v>1143.9278409592807</v>
      </c>
      <c r="E216" s="8">
        <f t="shared" si="12"/>
        <v>30</v>
      </c>
      <c r="F216" s="3"/>
      <c r="G216" s="3"/>
      <c r="H216" s="3"/>
    </row>
    <row r="217" spans="1:8" ht="18.5" x14ac:dyDescent="0.45">
      <c r="A217" s="3">
        <v>211</v>
      </c>
      <c r="B217" s="9">
        <f t="shared" si="13"/>
        <v>0.97359065019143676</v>
      </c>
      <c r="C217" s="3">
        <f t="shared" si="14"/>
        <v>4324300.2318902854</v>
      </c>
      <c r="D217" s="3">
        <f t="shared" si="15"/>
        <v>1129.4032326852903</v>
      </c>
      <c r="E217" s="8">
        <f t="shared" si="12"/>
        <v>30.142857142857142</v>
      </c>
      <c r="F217" s="3"/>
      <c r="G217" s="3"/>
      <c r="H217" s="3"/>
    </row>
    <row r="218" spans="1:8" ht="18.5" x14ac:dyDescent="0.45">
      <c r="A218" s="3">
        <v>212</v>
      </c>
      <c r="B218" s="9">
        <f t="shared" si="13"/>
        <v>0.97384171096241368</v>
      </c>
      <c r="C218" s="3">
        <f t="shared" si="14"/>
        <v>4325415.3434106568</v>
      </c>
      <c r="D218" s="3">
        <f t="shared" si="15"/>
        <v>1115.1115203713998</v>
      </c>
      <c r="E218" s="8">
        <f t="shared" si="12"/>
        <v>30.285714285714285</v>
      </c>
      <c r="F218" s="3"/>
      <c r="G218" s="3"/>
      <c r="H218" s="3"/>
    </row>
    <row r="219" spans="1:8" ht="18.5" x14ac:dyDescent="0.45">
      <c r="A219" s="3">
        <v>213</v>
      </c>
      <c r="B219" s="9">
        <f t="shared" si="13"/>
        <v>0.97408960545069434</v>
      </c>
      <c r="C219" s="3">
        <f t="shared" si="14"/>
        <v>4326516.3915698044</v>
      </c>
      <c r="D219" s="3">
        <f t="shared" si="15"/>
        <v>1101.0481591476128</v>
      </c>
      <c r="E219" s="8">
        <f t="shared" si="12"/>
        <v>30.428571428571427</v>
      </c>
      <c r="F219" s="3"/>
      <c r="G219" s="3"/>
      <c r="H219" s="3"/>
    </row>
    <row r="220" spans="1:8" ht="18.5" x14ac:dyDescent="0.45">
      <c r="A220" s="3">
        <v>214</v>
      </c>
      <c r="B220" s="9">
        <f t="shared" si="13"/>
        <v>0.9743343840685561</v>
      </c>
      <c r="C220" s="3">
        <f t="shared" si="14"/>
        <v>4327603.6002788991</v>
      </c>
      <c r="D220" s="3">
        <f t="shared" si="15"/>
        <v>1087.2087090946734</v>
      </c>
      <c r="E220" s="8">
        <f t="shared" si="12"/>
        <v>30.571428571428573</v>
      </c>
      <c r="F220" s="3"/>
      <c r="G220" s="3"/>
      <c r="H220" s="3"/>
    </row>
    <row r="221" spans="1:8" ht="18.5" x14ac:dyDescent="0.45">
      <c r="A221" s="3">
        <v>215</v>
      </c>
      <c r="B221" s="9">
        <f t="shared" si="13"/>
        <v>0.97457609625165154</v>
      </c>
      <c r="C221" s="3">
        <f t="shared" si="14"/>
        <v>4328677.1891113352</v>
      </c>
      <c r="D221" s="3">
        <f t="shared" si="15"/>
        <v>1073.5888324361295</v>
      </c>
      <c r="E221" s="8">
        <f t="shared" si="12"/>
        <v>30.714285714285715</v>
      </c>
      <c r="F221" s="3"/>
      <c r="G221" s="3"/>
      <c r="H221" s="3"/>
    </row>
    <row r="222" spans="1:8" ht="18.5" x14ac:dyDescent="0.45">
      <c r="A222" s="3">
        <v>216</v>
      </c>
      <c r="B222" s="9">
        <f t="shared" si="13"/>
        <v>0.97481479048139286</v>
      </c>
      <c r="C222" s="3">
        <f t="shared" si="14"/>
        <v>4329737.3734021541</v>
      </c>
      <c r="D222" s="3">
        <f t="shared" si="15"/>
        <v>1060.1842908188701</v>
      </c>
      <c r="E222" s="8">
        <f t="shared" si="12"/>
        <v>30.857142857142858</v>
      </c>
      <c r="F222" s="3"/>
      <c r="G222" s="3"/>
      <c r="H222" s="3"/>
    </row>
    <row r="223" spans="1:8" ht="18.5" x14ac:dyDescent="0.45">
      <c r="A223" s="3">
        <v>217</v>
      </c>
      <c r="B223" s="9">
        <f t="shared" si="13"/>
        <v>0.97505051430674261</v>
      </c>
      <c r="C223" s="3">
        <f t="shared" si="14"/>
        <v>4330784.3643448278</v>
      </c>
      <c r="D223" s="3">
        <f t="shared" si="15"/>
        <v>1046.9909426737577</v>
      </c>
      <c r="E223" s="8">
        <f t="shared" si="12"/>
        <v>31</v>
      </c>
      <c r="F223" s="3"/>
      <c r="G223" s="3"/>
      <c r="H223" s="3"/>
    </row>
    <row r="224" spans="1:8" ht="18.5" x14ac:dyDescent="0.45">
      <c r="A224" s="3">
        <v>218</v>
      </c>
      <c r="B224" s="9">
        <f t="shared" si="13"/>
        <v>0.97528331436542814</v>
      </c>
      <c r="C224" s="3">
        <f t="shared" si="14"/>
        <v>4331818.369085486</v>
      </c>
      <c r="D224" s="3">
        <f t="shared" si="15"/>
        <v>1034.0047406582162</v>
      </c>
      <c r="E224" s="8">
        <f t="shared" si="12"/>
        <v>31.142857142857142</v>
      </c>
      <c r="F224" s="3"/>
      <c r="G224" s="3"/>
      <c r="H224" s="3"/>
    </row>
    <row r="225" spans="1:8" ht="18.5" x14ac:dyDescent="0.45">
      <c r="A225" s="3">
        <v>219</v>
      </c>
      <c r="B225" s="9">
        <f t="shared" si="13"/>
        <v>0.97551323640459775</v>
      </c>
      <c r="C225" s="3">
        <f t="shared" si="14"/>
        <v>4332839.5908146612</v>
      </c>
      <c r="D225" s="3">
        <f t="shared" si="15"/>
        <v>1021.2217291751876</v>
      </c>
      <c r="E225" s="8">
        <f t="shared" si="12"/>
        <v>31.285714285714285</v>
      </c>
      <c r="F225" s="3"/>
      <c r="G225" s="3"/>
      <c r="H225" s="3"/>
    </row>
    <row r="226" spans="1:8" ht="18.5" x14ac:dyDescent="0.45">
      <c r="A226" s="3">
        <v>220</v>
      </c>
      <c r="B226" s="9">
        <f t="shared" si="13"/>
        <v>0.97574032530093435</v>
      </c>
      <c r="C226" s="3">
        <f t="shared" si="14"/>
        <v>4333848.2288566297</v>
      </c>
      <c r="D226" s="3">
        <f t="shared" si="15"/>
        <v>1008.6380419684574</v>
      </c>
      <c r="E226" s="8">
        <f t="shared" si="12"/>
        <v>31.428571428571427</v>
      </c>
      <c r="F226" s="3"/>
      <c r="G226" s="3"/>
      <c r="H226" s="3"/>
    </row>
    <row r="227" spans="1:8" ht="18.5" x14ac:dyDescent="0.45">
      <c r="A227" s="3">
        <v>221</v>
      </c>
      <c r="B227" s="9">
        <f t="shared" si="13"/>
        <v>0.97596462508024406</v>
      </c>
      <c r="C227" s="3">
        <f t="shared" si="14"/>
        <v>4334844.4787564119</v>
      </c>
      <c r="D227" s="3">
        <f t="shared" si="15"/>
        <v>996.24989978224039</v>
      </c>
      <c r="E227" s="8">
        <f t="shared" si="12"/>
        <v>31.571428571428573</v>
      </c>
      <c r="F227" s="3"/>
      <c r="G227" s="3"/>
      <c r="H227" s="3"/>
    </row>
    <row r="228" spans="1:8" ht="18.5" x14ac:dyDescent="0.45">
      <c r="A228" s="3">
        <v>222</v>
      </c>
      <c r="B228" s="9">
        <f t="shared" si="13"/>
        <v>0.97618617893653414</v>
      </c>
      <c r="C228" s="3">
        <f t="shared" si="14"/>
        <v>4335828.53236451</v>
      </c>
      <c r="D228" s="3">
        <f t="shared" si="15"/>
        <v>984.05360809806734</v>
      </c>
      <c r="E228" s="8">
        <f t="shared" si="12"/>
        <v>31.714285714285715</v>
      </c>
      <c r="F228" s="3"/>
      <c r="G228" s="3"/>
      <c r="H228" s="3"/>
    </row>
    <row r="229" spans="1:8" ht="18.5" x14ac:dyDescent="0.45">
      <c r="A229" s="3">
        <v>223</v>
      </c>
      <c r="B229" s="9">
        <f t="shared" si="13"/>
        <v>0.97640502925059636</v>
      </c>
      <c r="C229" s="3">
        <f t="shared" si="14"/>
        <v>4336800.5779194487</v>
      </c>
      <c r="D229" s="3">
        <f t="shared" si="15"/>
        <v>972.04555493872613</v>
      </c>
      <c r="E229" s="8">
        <f t="shared" si="12"/>
        <v>31.857142857142858</v>
      </c>
      <c r="F229" s="3"/>
      <c r="G229" s="3"/>
      <c r="H229" s="3"/>
    </row>
    <row r="230" spans="1:8" ht="18.5" x14ac:dyDescent="0.45">
      <c r="A230" s="3">
        <v>224</v>
      </c>
      <c r="B230" s="9">
        <f t="shared" si="13"/>
        <v>0.97662121760810905</v>
      </c>
      <c r="C230" s="3">
        <f t="shared" si="14"/>
        <v>4337760.8001281768</v>
      </c>
      <c r="D230" s="3">
        <f t="shared" si="15"/>
        <v>960.22220872808248</v>
      </c>
      <c r="E230" s="8">
        <f t="shared" si="12"/>
        <v>32</v>
      </c>
      <c r="F230" s="3"/>
      <c r="G230" s="3"/>
      <c r="H230" s="3"/>
    </row>
    <row r="231" spans="1:8" ht="18.5" x14ac:dyDescent="0.45">
      <c r="A231" s="3">
        <v>225</v>
      </c>
      <c r="B231" s="9">
        <f t="shared" si="13"/>
        <v>0.97683478481727481</v>
      </c>
      <c r="C231" s="3">
        <f t="shared" si="14"/>
        <v>4338709.3802444078</v>
      </c>
      <c r="D231" s="3">
        <f t="shared" si="15"/>
        <v>948.58011623099446</v>
      </c>
      <c r="E231" s="8">
        <f t="shared" si="12"/>
        <v>32.142857142857146</v>
      </c>
      <c r="F231" s="3"/>
      <c r="G231" s="3"/>
      <c r="H231" s="3"/>
    </row>
    <row r="232" spans="1:8" ht="18.5" x14ac:dyDescent="0.45">
      <c r="A232" s="3">
        <v>226</v>
      </c>
      <c r="B232" s="9">
        <f t="shared" si="13"/>
        <v>0.97704577092600275</v>
      </c>
      <c r="C232" s="3">
        <f t="shared" si="14"/>
        <v>4339646.4961449336</v>
      </c>
      <c r="D232" s="3">
        <f t="shared" si="15"/>
        <v>937.11590052582324</v>
      </c>
      <c r="E232" s="8">
        <f t="shared" si="12"/>
        <v>32.285714285714285</v>
      </c>
      <c r="F232" s="3"/>
      <c r="G232" s="3"/>
      <c r="H232" s="3"/>
    </row>
    <row r="233" spans="1:8" ht="18.5" x14ac:dyDescent="0.45">
      <c r="A233" s="3">
        <v>227</v>
      </c>
      <c r="B233" s="9">
        <f t="shared" si="13"/>
        <v>0.9772542152386543</v>
      </c>
      <c r="C233" s="3">
        <f t="shared" si="14"/>
        <v>4340572.3224040065</v>
      </c>
      <c r="D233" s="3">
        <f t="shared" si="15"/>
        <v>925.82625907287002</v>
      </c>
      <c r="E233" s="8">
        <f t="shared" si="12"/>
        <v>32.428571428571431</v>
      </c>
      <c r="F233" s="3"/>
      <c r="G233" s="3"/>
      <c r="H233" s="3"/>
    </row>
    <row r="234" spans="1:8" ht="18.5" x14ac:dyDescent="0.45">
      <c r="A234" s="3">
        <v>228</v>
      </c>
      <c r="B234" s="9">
        <f t="shared" si="13"/>
        <v>0.97746015633236027</v>
      </c>
      <c r="C234" s="3">
        <f t="shared" si="14"/>
        <v>4341487.0303658117</v>
      </c>
      <c r="D234" s="3">
        <f t="shared" si="15"/>
        <v>914.70796180516481</v>
      </c>
      <c r="E234" s="8">
        <f t="shared" si="12"/>
        <v>32.571428571428569</v>
      </c>
      <c r="F234" s="3"/>
      <c r="G234" s="3"/>
      <c r="H234" s="3"/>
    </row>
    <row r="235" spans="1:8" ht="18.5" x14ac:dyDescent="0.45">
      <c r="A235" s="3">
        <v>229</v>
      </c>
      <c r="B235" s="9">
        <f t="shared" si="13"/>
        <v>0.97766363207292462</v>
      </c>
      <c r="C235" s="3">
        <f t="shared" si="14"/>
        <v>4342390.7882151017</v>
      </c>
      <c r="D235" s="3">
        <f t="shared" si="15"/>
        <v>903.75784929003567</v>
      </c>
      <c r="E235" s="8">
        <f t="shared" si="12"/>
        <v>32.714285714285715</v>
      </c>
      <c r="F235" s="3"/>
      <c r="G235" s="3"/>
      <c r="H235" s="3"/>
    </row>
    <row r="236" spans="1:8" ht="18.5" x14ac:dyDescent="0.45">
      <c r="A236" s="3">
        <v>230</v>
      </c>
      <c r="B236" s="9">
        <f t="shared" si="13"/>
        <v>0.97786467963032542</v>
      </c>
      <c r="C236" s="3">
        <f t="shared" si="14"/>
        <v>4343283.7610460529</v>
      </c>
      <c r="D236" s="3">
        <f t="shared" si="15"/>
        <v>892.97283095121384</v>
      </c>
      <c r="E236" s="8">
        <f t="shared" si="12"/>
        <v>32.857142857142854</v>
      </c>
      <c r="F236" s="3"/>
      <c r="G236" s="3"/>
      <c r="H236" s="3"/>
    </row>
    <row r="237" spans="1:8" ht="18.5" x14ac:dyDescent="0.45">
      <c r="A237" s="3">
        <v>231</v>
      </c>
      <c r="B237" s="9">
        <f t="shared" si="13"/>
        <v>0.97806333549382585</v>
      </c>
      <c r="C237" s="3">
        <f t="shared" si="14"/>
        <v>4344166.1109293764</v>
      </c>
      <c r="D237" s="3">
        <f t="shared" si="15"/>
        <v>882.34988332353532</v>
      </c>
      <c r="E237" s="8">
        <f t="shared" si="12"/>
        <v>33</v>
      </c>
      <c r="F237" s="3"/>
      <c r="G237" s="3"/>
      <c r="H237" s="3"/>
    </row>
    <row r="238" spans="1:8" ht="18.5" x14ac:dyDescent="0.45">
      <c r="A238" s="3">
        <v>232</v>
      </c>
      <c r="B238" s="9">
        <f t="shared" si="13"/>
        <v>0.97825963548670491</v>
      </c>
      <c r="C238" s="3">
        <f t="shared" si="14"/>
        <v>4345037.9969777483</v>
      </c>
      <c r="D238" s="3">
        <f t="shared" si="15"/>
        <v>871.8860483719036</v>
      </c>
      <c r="E238" s="8">
        <f t="shared" si="12"/>
        <v>33.142857142857146</v>
      </c>
      <c r="F238" s="3"/>
      <c r="G238" s="3"/>
      <c r="H238" s="3"/>
    </row>
    <row r="239" spans="1:8" ht="18.5" x14ac:dyDescent="0.45">
      <c r="A239" s="3">
        <v>233</v>
      </c>
      <c r="B239" s="9">
        <f t="shared" si="13"/>
        <v>0.97845361478061921</v>
      </c>
      <c r="C239" s="3">
        <f t="shared" si="14"/>
        <v>4345899.5754095986</v>
      </c>
      <c r="D239" s="3">
        <f t="shared" si="15"/>
        <v>861.57843185029924</v>
      </c>
      <c r="E239" s="8">
        <f t="shared" si="12"/>
        <v>33.285714285714285</v>
      </c>
      <c r="F239" s="3"/>
      <c r="G239" s="3"/>
      <c r="H239" s="3"/>
    </row>
    <row r="240" spans="1:8" ht="18.5" x14ac:dyDescent="0.45">
      <c r="A240" s="3">
        <v>234</v>
      </c>
      <c r="B240" s="9">
        <f t="shared" si="13"/>
        <v>0.97864530790960802</v>
      </c>
      <c r="C240" s="3">
        <f t="shared" si="14"/>
        <v>4346750.9996113153</v>
      </c>
      <c r="D240" s="3">
        <f t="shared" si="15"/>
        <v>851.4242017166689</v>
      </c>
      <c r="E240" s="8">
        <f t="shared" si="12"/>
        <v>33.428571428571431</v>
      </c>
      <c r="F240" s="3"/>
      <c r="G240" s="3"/>
      <c r="H240" s="3"/>
    </row>
    <row r="241" spans="1:8" ht="18.5" x14ac:dyDescent="0.45">
      <c r="A241" s="3">
        <v>235</v>
      </c>
      <c r="B241" s="9">
        <f t="shared" si="13"/>
        <v>0.97883474878374832</v>
      </c>
      <c r="C241" s="3">
        <f t="shared" si="14"/>
        <v>4347592.4201978967</v>
      </c>
      <c r="D241" s="3">
        <f t="shared" si="15"/>
        <v>841.42058658134192</v>
      </c>
      <c r="E241" s="8">
        <f t="shared" si="12"/>
        <v>33.571428571428569</v>
      </c>
      <c r="F241" s="3"/>
      <c r="G241" s="3"/>
      <c r="H241" s="3"/>
    </row>
    <row r="242" spans="1:8" ht="18.5" x14ac:dyDescent="0.45">
      <c r="A242" s="3">
        <v>236</v>
      </c>
      <c r="B242" s="9">
        <f t="shared" si="13"/>
        <v>0.97902197070247332</v>
      </c>
      <c r="C242" s="3">
        <f t="shared" si="14"/>
        <v>4348423.9850721052</v>
      </c>
      <c r="D242" s="3">
        <f t="shared" si="15"/>
        <v>831.56487420853227</v>
      </c>
      <c r="E242" s="8">
        <f t="shared" si="12"/>
        <v>33.714285714285715</v>
      </c>
      <c r="F242" s="3"/>
      <c r="G242" s="3"/>
      <c r="H242" s="3"/>
    </row>
    <row r="243" spans="1:8" ht="18.5" x14ac:dyDescent="0.45">
      <c r="A243" s="3">
        <v>237</v>
      </c>
      <c r="B243" s="9">
        <f t="shared" si="13"/>
        <v>0.97920700636756108</v>
      </c>
      <c r="C243" s="3">
        <f t="shared" si="14"/>
        <v>4349245.8394821594</v>
      </c>
      <c r="D243" s="3">
        <f t="shared" si="15"/>
        <v>821.85441005416214</v>
      </c>
      <c r="E243" s="8">
        <f t="shared" si="12"/>
        <v>33.857142857142854</v>
      </c>
      <c r="F243" s="3"/>
      <c r="G243" s="3"/>
      <c r="H243" s="3"/>
    </row>
    <row r="244" spans="1:8" ht="18.5" x14ac:dyDescent="0.45">
      <c r="A244" s="3">
        <v>238</v>
      </c>
      <c r="B244" s="9">
        <f t="shared" si="13"/>
        <v>0.97938988789580439</v>
      </c>
      <c r="C244" s="3">
        <f t="shared" si="14"/>
        <v>4350058.1260780049</v>
      </c>
      <c r="D244" s="3">
        <f t="shared" si="15"/>
        <v>812.286595845595</v>
      </c>
      <c r="E244" s="8">
        <f t="shared" si="12"/>
        <v>34</v>
      </c>
      <c r="F244" s="3"/>
      <c r="G244" s="3"/>
      <c r="H244" s="3"/>
    </row>
    <row r="245" spans="1:8" ht="18.5" x14ac:dyDescent="0.45">
      <c r="A245" s="3">
        <v>239</v>
      </c>
      <c r="B245" s="9">
        <f t="shared" si="13"/>
        <v>0.97957064683137007</v>
      </c>
      <c r="C245" s="3">
        <f t="shared" si="14"/>
        <v>4350860.9849662129</v>
      </c>
      <c r="D245" s="3">
        <f t="shared" si="15"/>
        <v>802.8588882079348</v>
      </c>
      <c r="E245" s="8">
        <f t="shared" si="12"/>
        <v>34.142857142857146</v>
      </c>
      <c r="F245" s="3"/>
      <c r="G245" s="3"/>
      <c r="H245" s="3"/>
    </row>
    <row r="246" spans="1:8" ht="18.5" x14ac:dyDescent="0.45">
      <c r="A246" s="3">
        <v>240</v>
      </c>
      <c r="B246" s="9">
        <f t="shared" si="13"/>
        <v>0.97974931415785549</v>
      </c>
      <c r="C246" s="3">
        <f t="shared" si="14"/>
        <v>4351654.5537635311</v>
      </c>
      <c r="D246" s="3">
        <f t="shared" si="15"/>
        <v>793.56879731826484</v>
      </c>
      <c r="E246" s="8">
        <f t="shared" si="12"/>
        <v>34.285714285714285</v>
      </c>
      <c r="F246" s="3"/>
      <c r="G246" s="3"/>
      <c r="H246" s="3"/>
    </row>
    <row r="247" spans="1:8" ht="18.5" x14ac:dyDescent="0.45">
      <c r="A247" s="3">
        <v>241</v>
      </c>
      <c r="B247" s="9">
        <f t="shared" si="13"/>
        <v>0.97992592031005332</v>
      </c>
      <c r="C247" s="3">
        <f t="shared" si="14"/>
        <v>4352438.9676491329</v>
      </c>
      <c r="D247" s="3">
        <f t="shared" si="15"/>
        <v>784.41388560179621</v>
      </c>
      <c r="E247" s="8">
        <f t="shared" si="12"/>
        <v>34.428571428571431</v>
      </c>
      <c r="F247" s="3"/>
      <c r="G247" s="3"/>
      <c r="H247" s="3"/>
    </row>
    <row r="248" spans="1:8" ht="18.5" x14ac:dyDescent="0.45">
      <c r="A248" s="3">
        <v>242</v>
      </c>
      <c r="B248" s="9">
        <f t="shared" si="13"/>
        <v>0.98010049518542919</v>
      </c>
      <c r="C248" s="3">
        <f t="shared" si="14"/>
        <v>4353214.3594156019</v>
      </c>
      <c r="D248" s="3">
        <f t="shared" si="15"/>
        <v>775.39176646899432</v>
      </c>
      <c r="E248" s="8">
        <f t="shared" si="12"/>
        <v>34.571428571428569</v>
      </c>
      <c r="F248" s="3"/>
      <c r="G248" s="3"/>
      <c r="H248" s="3"/>
    </row>
    <row r="249" spans="1:8" ht="18.5" x14ac:dyDescent="0.45">
      <c r="A249" s="3">
        <v>243</v>
      </c>
      <c r="B249" s="9">
        <f t="shared" si="13"/>
        <v>0.98027306815532245</v>
      </c>
      <c r="C249" s="3">
        <f t="shared" si="14"/>
        <v>4353980.8595186798</v>
      </c>
      <c r="D249" s="3">
        <f t="shared" si="15"/>
        <v>766.50010307785124</v>
      </c>
      <c r="E249" s="8">
        <f t="shared" si="12"/>
        <v>34.714285714285715</v>
      </c>
      <c r="F249" s="3"/>
      <c r="G249" s="3"/>
      <c r="H249" s="3"/>
    </row>
    <row r="250" spans="1:8" ht="18.5" x14ac:dyDescent="0.45">
      <c r="A250" s="3">
        <v>244</v>
      </c>
      <c r="B250" s="9">
        <f t="shared" si="13"/>
        <v>0.98044366807587768</v>
      </c>
      <c r="C250" s="3">
        <f t="shared" si="14"/>
        <v>4354738.5961258179</v>
      </c>
      <c r="D250" s="3">
        <f t="shared" si="15"/>
        <v>757.73660713806748</v>
      </c>
      <c r="E250" s="8">
        <f t="shared" si="12"/>
        <v>34.857142857142854</v>
      </c>
      <c r="F250" s="3"/>
      <c r="G250" s="3"/>
      <c r="H250" s="3"/>
    </row>
    <row r="251" spans="1:8" ht="18.5" x14ac:dyDescent="0.45">
      <c r="A251" s="3">
        <v>245</v>
      </c>
      <c r="B251" s="9">
        <f t="shared" si="13"/>
        <v>0.98061232329871262</v>
      </c>
      <c r="C251" s="3">
        <f t="shared" si="14"/>
        <v>4355487.695163562</v>
      </c>
      <c r="D251" s="3">
        <f t="shared" si="15"/>
        <v>749.09903774410486</v>
      </c>
      <c r="E251" s="8">
        <f t="shared" si="12"/>
        <v>35</v>
      </c>
      <c r="F251" s="3"/>
      <c r="G251" s="3"/>
      <c r="H251" s="3"/>
    </row>
    <row r="252" spans="1:8" ht="18.5" x14ac:dyDescent="0.45">
      <c r="A252" s="3">
        <v>246</v>
      </c>
      <c r="B252" s="9">
        <f t="shared" si="13"/>
        <v>0.98077906168133144</v>
      </c>
      <c r="C252" s="3">
        <f t="shared" si="14"/>
        <v>4356228.2803638019</v>
      </c>
      <c r="D252" s="3">
        <f t="shared" si="15"/>
        <v>740.58520023990422</v>
      </c>
      <c r="E252" s="8">
        <f t="shared" si="12"/>
        <v>35.142857142857146</v>
      </c>
      <c r="F252" s="3"/>
      <c r="G252" s="3"/>
      <c r="H252" s="3"/>
    </row>
    <row r="253" spans="1:8" ht="18.5" x14ac:dyDescent="0.45">
      <c r="A253" s="3">
        <v>247</v>
      </c>
      <c r="B253" s="9">
        <f t="shared" si="13"/>
        <v>0.98094391059728991</v>
      </c>
      <c r="C253" s="3">
        <f t="shared" si="14"/>
        <v>4356960.4733089227</v>
      </c>
      <c r="D253" s="3">
        <f t="shared" si="15"/>
        <v>732.19294512085617</v>
      </c>
      <c r="E253" s="8">
        <f t="shared" si="12"/>
        <v>35.285714285714285</v>
      </c>
      <c r="F253" s="3"/>
      <c r="G253" s="3"/>
      <c r="H253" s="3"/>
    </row>
    <row r="254" spans="1:8" ht="18.5" x14ac:dyDescent="0.45">
      <c r="A254" s="3">
        <v>248</v>
      </c>
      <c r="B254" s="9">
        <f t="shared" si="13"/>
        <v>0.98110689694611752</v>
      </c>
      <c r="C254" s="3">
        <f t="shared" si="14"/>
        <v>4357684.3934758753</v>
      </c>
      <c r="D254" s="3">
        <f t="shared" si="15"/>
        <v>723.92016695253551</v>
      </c>
      <c r="E254" s="8">
        <f t="shared" si="12"/>
        <v>35.428571428571431</v>
      </c>
      <c r="F254" s="3"/>
      <c r="G254" s="3"/>
      <c r="H254" s="3"/>
    </row>
    <row r="255" spans="1:8" ht="18.5" x14ac:dyDescent="0.45">
      <c r="A255" s="3">
        <v>249</v>
      </c>
      <c r="B255" s="9">
        <f t="shared" si="13"/>
        <v>0.98126804716300642</v>
      </c>
      <c r="C255" s="3">
        <f t="shared" si="14"/>
        <v>4358400.1582792094</v>
      </c>
      <c r="D255" s="3">
        <f t="shared" si="15"/>
        <v>715.76480333413929</v>
      </c>
      <c r="E255" s="8">
        <f t="shared" si="12"/>
        <v>35.571428571428569</v>
      </c>
      <c r="F255" s="3"/>
      <c r="G255" s="3"/>
      <c r="H255" s="3"/>
    </row>
    <row r="256" spans="1:8" ht="18.5" x14ac:dyDescent="0.45">
      <c r="A256" s="3">
        <v>250</v>
      </c>
      <c r="B256" s="9">
        <f t="shared" si="13"/>
        <v>0.98142738722827005</v>
      </c>
      <c r="C256" s="3">
        <f t="shared" si="14"/>
        <v>4359107.8831130844</v>
      </c>
      <c r="D256" s="3">
        <f t="shared" si="15"/>
        <v>707.72483387496322</v>
      </c>
      <c r="E256" s="8">
        <f t="shared" si="12"/>
        <v>35.714285714285715</v>
      </c>
      <c r="F256" s="3"/>
      <c r="G256" s="3"/>
      <c r="H256" s="3"/>
    </row>
    <row r="257" spans="1:8" ht="18.5" x14ac:dyDescent="0.45">
      <c r="A257" s="3">
        <v>251</v>
      </c>
      <c r="B257" s="9">
        <f t="shared" si="13"/>
        <v>0.98158494267657992</v>
      </c>
      <c r="C257" s="3">
        <f t="shared" si="14"/>
        <v>4359807.6813922971</v>
      </c>
      <c r="D257" s="3">
        <f t="shared" si="15"/>
        <v>699.79827921278775</v>
      </c>
      <c r="E257" s="8">
        <f t="shared" si="12"/>
        <v>35.857142857142854</v>
      </c>
      <c r="F257" s="3"/>
      <c r="G257" s="3"/>
      <c r="H257" s="3"/>
    </row>
    <row r="258" spans="1:8" ht="18.5" x14ac:dyDescent="0.45">
      <c r="A258" s="3">
        <v>252</v>
      </c>
      <c r="B258" s="9">
        <f t="shared" si="13"/>
        <v>0.9817407386059851</v>
      </c>
      <c r="C258" s="3">
        <f t="shared" si="14"/>
        <v>4360499.6645923434</v>
      </c>
      <c r="D258" s="3">
        <f t="shared" si="15"/>
        <v>691.98320004623383</v>
      </c>
      <c r="E258" s="8">
        <f t="shared" si="12"/>
        <v>36</v>
      </c>
      <c r="F258" s="3"/>
      <c r="G258" s="3"/>
      <c r="H258" s="3"/>
    </row>
    <row r="259" spans="1:8" ht="18.5" x14ac:dyDescent="0.45">
      <c r="A259" s="3">
        <v>253</v>
      </c>
      <c r="B259" s="9">
        <f t="shared" si="13"/>
        <v>0.98189479968672122</v>
      </c>
      <c r="C259" s="3">
        <f t="shared" si="14"/>
        <v>4361183.9422885412</v>
      </c>
      <c r="D259" s="3">
        <f t="shared" si="15"/>
        <v>684.27769619785249</v>
      </c>
      <c r="E259" s="8">
        <f t="shared" si="12"/>
        <v>36.142857142857146</v>
      </c>
      <c r="F259" s="3"/>
      <c r="G259" s="3"/>
      <c r="H259" s="3"/>
    </row>
    <row r="260" spans="1:8" ht="18.5" x14ac:dyDescent="0.45">
      <c r="A260" s="3">
        <v>254</v>
      </c>
      <c r="B260" s="9">
        <f t="shared" si="13"/>
        <v>0.98204715016981414</v>
      </c>
      <c r="C260" s="3">
        <f t="shared" si="14"/>
        <v>4361860.6221942464</v>
      </c>
      <c r="D260" s="3">
        <f t="shared" si="15"/>
        <v>676.67990570515394</v>
      </c>
      <c r="E260" s="8">
        <f t="shared" si="12"/>
        <v>36.285714285714285</v>
      </c>
      <c r="F260" s="3"/>
      <c r="G260" s="3"/>
      <c r="H260" s="3"/>
    </row>
    <row r="261" spans="1:8" ht="18.5" x14ac:dyDescent="0.45">
      <c r="A261" s="3">
        <v>255</v>
      </c>
      <c r="B261" s="9">
        <f t="shared" si="13"/>
        <v>0.98219781389548366</v>
      </c>
      <c r="C261" s="3">
        <f t="shared" si="14"/>
        <v>4362529.8101981804</v>
      </c>
      <c r="D261" s="3">
        <f t="shared" si="15"/>
        <v>669.18800393398851</v>
      </c>
      <c r="E261" s="8">
        <f t="shared" si="12"/>
        <v>36.428571428571431</v>
      </c>
      <c r="F261" s="3"/>
      <c r="G261" s="3"/>
      <c r="H261" s="3"/>
    </row>
    <row r="262" spans="1:8" ht="18.5" x14ac:dyDescent="0.45">
      <c r="A262" s="3">
        <v>256</v>
      </c>
      <c r="B262" s="9">
        <f t="shared" si="13"/>
        <v>0.9823468143013524</v>
      </c>
      <c r="C262" s="3">
        <f t="shared" si="14"/>
        <v>4363191.6104008872</v>
      </c>
      <c r="D262" s="3">
        <f t="shared" si="15"/>
        <v>661.80020270682871</v>
      </c>
      <c r="E262" s="8">
        <f t="shared" si="12"/>
        <v>36.571428571428569</v>
      </c>
      <c r="F262" s="3"/>
      <c r="G262" s="3"/>
      <c r="H262" s="3"/>
    </row>
    <row r="263" spans="1:8" ht="18.5" x14ac:dyDescent="0.45">
      <c r="A263" s="3">
        <v>257</v>
      </c>
      <c r="B263" s="9">
        <f t="shared" si="13"/>
        <v>0.98249417443046549</v>
      </c>
      <c r="C263" s="3">
        <f t="shared" si="14"/>
        <v>4363846.1251503555</v>
      </c>
      <c r="D263" s="3">
        <f t="shared" si="15"/>
        <v>654.51474946830422</v>
      </c>
      <c r="E263" s="8">
        <f t="shared" ref="E263:E326" si="16">A263/7</f>
        <v>36.714285714285715</v>
      </c>
      <c r="F263" s="3"/>
      <c r="G263" s="3"/>
      <c r="H263" s="3"/>
    </row>
    <row r="264" spans="1:8" ht="18.5" x14ac:dyDescent="0.45">
      <c r="A264" s="3">
        <v>258</v>
      </c>
      <c r="B264" s="9">
        <f t="shared" ref="B264:B327" si="17">LOGNORMDIST(A264,$A$3,$B$3)</f>
        <v>0.98263991693912545</v>
      </c>
      <c r="C264" s="3">
        <f t="shared" ref="C264:C327" si="18">$E$3*B264</f>
        <v>4364493.4550768193</v>
      </c>
      <c r="D264" s="3">
        <f t="shared" ref="D264:D327" si="19">C264-C263</f>
        <v>647.32992646377534</v>
      </c>
      <c r="E264" s="8">
        <f t="shared" si="16"/>
        <v>36.857142857142854</v>
      </c>
      <c r="F264" s="3"/>
      <c r="G264" s="3"/>
      <c r="H264" s="3"/>
    </row>
    <row r="265" spans="1:8" ht="18.5" x14ac:dyDescent="0.45">
      <c r="A265" s="3">
        <v>259</v>
      </c>
      <c r="B265" s="9">
        <f t="shared" si="17"/>
        <v>0.98278406410454811</v>
      </c>
      <c r="C265" s="3">
        <f t="shared" si="18"/>
        <v>4365133.6991267605</v>
      </c>
      <c r="D265" s="3">
        <f t="shared" si="19"/>
        <v>640.24404994118959</v>
      </c>
      <c r="E265" s="8">
        <f t="shared" si="16"/>
        <v>37</v>
      </c>
      <c r="F265" s="3"/>
      <c r="G265" s="3"/>
      <c r="H265" s="3"/>
    </row>
    <row r="266" spans="1:8" ht="18.5" x14ac:dyDescent="0.45">
      <c r="A266" s="3">
        <v>260</v>
      </c>
      <c r="B266" s="9">
        <f t="shared" si="17"/>
        <v>0.98292663783234213</v>
      </c>
      <c r="C266" s="3">
        <f t="shared" si="18"/>
        <v>4365766.9545961311</v>
      </c>
      <c r="D266" s="3">
        <f t="shared" si="19"/>
        <v>633.25546937063336</v>
      </c>
      <c r="E266" s="8">
        <f t="shared" si="16"/>
        <v>37.142857142857146</v>
      </c>
      <c r="F266" s="3"/>
      <c r="G266" s="3"/>
      <c r="H266" s="3"/>
    </row>
    <row r="267" spans="1:8" ht="18.5" x14ac:dyDescent="0.45">
      <c r="A267" s="3">
        <v>261</v>
      </c>
      <c r="B267" s="9">
        <f t="shared" si="17"/>
        <v>0.98306765966381959</v>
      </c>
      <c r="C267" s="3">
        <f t="shared" si="18"/>
        <v>4366393.3171628211</v>
      </c>
      <c r="D267" s="3">
        <f t="shared" si="19"/>
        <v>626.36256668996066</v>
      </c>
      <c r="E267" s="8">
        <f t="shared" si="16"/>
        <v>37.285714285714285</v>
      </c>
      <c r="F267" s="3"/>
      <c r="G267" s="3"/>
      <c r="H267" s="3"/>
    </row>
    <row r="268" spans="1:8" ht="18.5" x14ac:dyDescent="0.45">
      <c r="A268" s="3">
        <v>262</v>
      </c>
      <c r="B268" s="9">
        <f t="shared" si="17"/>
        <v>0.98320715078313947</v>
      </c>
      <c r="C268" s="3">
        <f t="shared" si="18"/>
        <v>4367012.880918392</v>
      </c>
      <c r="D268" s="3">
        <f t="shared" si="19"/>
        <v>619.56375557091087</v>
      </c>
      <c r="E268" s="8">
        <f t="shared" si="16"/>
        <v>37.428571428571431</v>
      </c>
      <c r="F268" s="3"/>
      <c r="G268" s="3"/>
      <c r="H268" s="3"/>
    </row>
    <row r="269" spans="1:8" ht="18.5" x14ac:dyDescent="0.45">
      <c r="A269" s="3">
        <v>263</v>
      </c>
      <c r="B269" s="9">
        <f t="shared" si="17"/>
        <v>0.98334513202428964</v>
      </c>
      <c r="C269" s="3">
        <f t="shared" si="18"/>
        <v>4367625.7383990847</v>
      </c>
      <c r="D269" s="3">
        <f t="shared" si="19"/>
        <v>612.8574806926772</v>
      </c>
      <c r="E269" s="8">
        <f t="shared" si="16"/>
        <v>37.571428571428569</v>
      </c>
      <c r="F269" s="3"/>
      <c r="G269" s="3"/>
      <c r="H269" s="3"/>
    </row>
    <row r="270" spans="1:8" ht="18.5" x14ac:dyDescent="0.45">
      <c r="A270" s="3">
        <v>264</v>
      </c>
      <c r="B270" s="9">
        <f t="shared" si="17"/>
        <v>0.98348162387791149</v>
      </c>
      <c r="C270" s="3">
        <f t="shared" si="18"/>
        <v>4368231.9806161318</v>
      </c>
      <c r="D270" s="3">
        <f t="shared" si="19"/>
        <v>606.24221704714</v>
      </c>
      <c r="E270" s="8">
        <f t="shared" si="16"/>
        <v>37.714285714285715</v>
      </c>
      <c r="F270" s="3"/>
      <c r="G270" s="3"/>
      <c r="H270" s="3"/>
    </row>
    <row r="271" spans="1:8" ht="18.5" x14ac:dyDescent="0.45">
      <c r="A271" s="3">
        <v>265</v>
      </c>
      <c r="B271" s="9">
        <f t="shared" si="17"/>
        <v>0.98361664649797087</v>
      </c>
      <c r="C271" s="3">
        <f t="shared" si="18"/>
        <v>4368831.6970853871</v>
      </c>
      <c r="D271" s="3">
        <f t="shared" si="19"/>
        <v>599.71646925527602</v>
      </c>
      <c r="E271" s="8">
        <f t="shared" si="16"/>
        <v>37.857142857142854</v>
      </c>
      <c r="F271" s="3"/>
      <c r="G271" s="3"/>
      <c r="H271" s="3"/>
    </row>
    <row r="272" spans="1:8" ht="18.5" x14ac:dyDescent="0.45">
      <c r="A272" s="3">
        <v>266</v>
      </c>
      <c r="B272" s="9">
        <f t="shared" si="17"/>
        <v>0.98375021970827881</v>
      </c>
      <c r="C272" s="3">
        <f t="shared" si="18"/>
        <v>4369424.9758562911</v>
      </c>
      <c r="D272" s="3">
        <f t="shared" si="19"/>
        <v>593.27877090405673</v>
      </c>
      <c r="E272" s="8">
        <f t="shared" si="16"/>
        <v>38</v>
      </c>
      <c r="F272" s="3"/>
      <c r="G272" s="3"/>
      <c r="H272" s="3"/>
    </row>
    <row r="273" spans="1:8" ht="18.5" x14ac:dyDescent="0.45">
      <c r="A273" s="3">
        <v>267</v>
      </c>
      <c r="B273" s="9">
        <f t="shared" si="17"/>
        <v>0.98388236300886756</v>
      </c>
      <c r="C273" s="3">
        <f t="shared" si="18"/>
        <v>4370011.9035401866</v>
      </c>
      <c r="D273" s="3">
        <f t="shared" si="19"/>
        <v>586.92768389545381</v>
      </c>
      <c r="E273" s="8">
        <f t="shared" si="16"/>
        <v>38.142857142857146</v>
      </c>
      <c r="F273" s="3"/>
      <c r="G273" s="3"/>
      <c r="H273" s="3"/>
    </row>
    <row r="274" spans="1:8" ht="18.5" x14ac:dyDescent="0.45">
      <c r="A274" s="3">
        <v>268</v>
      </c>
      <c r="B274" s="9">
        <f t="shared" si="17"/>
        <v>0.98401309558222316</v>
      </c>
      <c r="C274" s="3">
        <f t="shared" si="18"/>
        <v>4370592.5653380025</v>
      </c>
      <c r="D274" s="3">
        <f t="shared" si="19"/>
        <v>580.66179781593382</v>
      </c>
      <c r="E274" s="8">
        <f t="shared" si="16"/>
        <v>38.285714285714285</v>
      </c>
      <c r="F274" s="3"/>
      <c r="G274" s="3"/>
      <c r="H274" s="3"/>
    </row>
    <row r="275" spans="1:8" ht="18.5" x14ac:dyDescent="0.45">
      <c r="A275" s="3">
        <v>269</v>
      </c>
      <c r="B275" s="9">
        <f t="shared" si="17"/>
        <v>0.98414243629938092</v>
      </c>
      <c r="C275" s="3">
        <f t="shared" si="18"/>
        <v>4371167.0450673299</v>
      </c>
      <c r="D275" s="3">
        <f t="shared" si="19"/>
        <v>574.47972932737321</v>
      </c>
      <c r="E275" s="8">
        <f t="shared" si="16"/>
        <v>38.428571428571431</v>
      </c>
      <c r="F275" s="3"/>
      <c r="G275" s="3"/>
      <c r="H275" s="3"/>
    </row>
    <row r="276" spans="1:8" ht="18.5" x14ac:dyDescent="0.45">
      <c r="A276" s="3">
        <v>270</v>
      </c>
      <c r="B276" s="9">
        <f t="shared" si="17"/>
        <v>0.98427040372588426</v>
      </c>
      <c r="C276" s="3">
        <f t="shared" si="18"/>
        <v>4371735.4251888879</v>
      </c>
      <c r="D276" s="3">
        <f t="shared" si="19"/>
        <v>568.38012155797333</v>
      </c>
      <c r="E276" s="8">
        <f t="shared" si="16"/>
        <v>38.571428571428569</v>
      </c>
      <c r="F276" s="3"/>
      <c r="G276" s="3"/>
      <c r="H276" s="3"/>
    </row>
    <row r="277" spans="1:8" ht="18.5" x14ac:dyDescent="0.45">
      <c r="A277" s="3">
        <v>271</v>
      </c>
      <c r="B277" s="9">
        <f t="shared" si="17"/>
        <v>0.98439701612761332</v>
      </c>
      <c r="C277" s="3">
        <f t="shared" si="18"/>
        <v>4372297.7868324071</v>
      </c>
      <c r="D277" s="3">
        <f t="shared" si="19"/>
        <v>562.36164351925254</v>
      </c>
      <c r="E277" s="8">
        <f t="shared" si="16"/>
        <v>38.714285714285715</v>
      </c>
      <c r="F277" s="3"/>
      <c r="G277" s="3"/>
      <c r="H277" s="3"/>
    </row>
    <row r="278" spans="1:8" ht="18.5" x14ac:dyDescent="0.45">
      <c r="A278" s="3">
        <v>272</v>
      </c>
      <c r="B278" s="9">
        <f t="shared" si="17"/>
        <v>0.98452229147648451</v>
      </c>
      <c r="C278" s="3">
        <f t="shared" si="18"/>
        <v>4372854.2098219534</v>
      </c>
      <c r="D278" s="3">
        <f t="shared" si="19"/>
        <v>556.42298954632133</v>
      </c>
      <c r="E278" s="8">
        <f t="shared" si="16"/>
        <v>38.857142857142854</v>
      </c>
      <c r="F278" s="3"/>
      <c r="G278" s="3"/>
      <c r="H278" s="3"/>
    </row>
    <row r="279" spans="1:8" ht="18.5" x14ac:dyDescent="0.45">
      <c r="A279" s="3">
        <v>273</v>
      </c>
      <c r="B279" s="9">
        <f t="shared" si="17"/>
        <v>0.98464624745602503</v>
      </c>
      <c r="C279" s="3">
        <f t="shared" si="18"/>
        <v>4373404.7727006804</v>
      </c>
      <c r="D279" s="3">
        <f t="shared" si="19"/>
        <v>550.56287872698158</v>
      </c>
      <c r="E279" s="8">
        <f t="shared" si="16"/>
        <v>39</v>
      </c>
      <c r="F279" s="3"/>
      <c r="G279" s="3"/>
      <c r="H279" s="3"/>
    </row>
    <row r="280" spans="1:8" ht="18.5" x14ac:dyDescent="0.45">
      <c r="A280" s="3">
        <v>274</v>
      </c>
      <c r="B280" s="9">
        <f t="shared" si="17"/>
        <v>0.9847689014668255</v>
      </c>
      <c r="C280" s="3">
        <f t="shared" si="18"/>
        <v>4373949.5527550522</v>
      </c>
      <c r="D280" s="3">
        <f t="shared" si="19"/>
        <v>544.780054371804</v>
      </c>
      <c r="E280" s="8">
        <f t="shared" si="16"/>
        <v>39.142857142857146</v>
      </c>
      <c r="F280" s="3"/>
      <c r="G280" s="3"/>
      <c r="H280" s="3"/>
    </row>
    <row r="281" spans="1:8" ht="18.5" x14ac:dyDescent="0.45">
      <c r="A281" s="3">
        <v>275</v>
      </c>
      <c r="B281" s="9">
        <f t="shared" si="17"/>
        <v>0.98489027063187318</v>
      </c>
      <c r="C281" s="3">
        <f t="shared" si="18"/>
        <v>4374488.626038528</v>
      </c>
      <c r="D281" s="3">
        <f t="shared" si="19"/>
        <v>539.0732834758237</v>
      </c>
      <c r="E281" s="8">
        <f t="shared" si="16"/>
        <v>39.285714285714285</v>
      </c>
      <c r="F281" s="3"/>
      <c r="G281" s="3"/>
      <c r="H281" s="3"/>
    </row>
    <row r="282" spans="1:8" ht="18.5" x14ac:dyDescent="0.45">
      <c r="A282" s="3">
        <v>276</v>
      </c>
      <c r="B282" s="9">
        <f t="shared" si="17"/>
        <v>0.98501037180177009</v>
      </c>
      <c r="C282" s="3">
        <f t="shared" si="18"/>
        <v>4375022.0673947418</v>
      </c>
      <c r="D282" s="3">
        <f t="shared" si="19"/>
        <v>533.44135621376336</v>
      </c>
      <c r="E282" s="8">
        <f t="shared" si="16"/>
        <v>39.428571428571431</v>
      </c>
      <c r="F282" s="3"/>
      <c r="G282" s="3"/>
      <c r="H282" s="3"/>
    </row>
    <row r="283" spans="1:8" ht="18.5" x14ac:dyDescent="0.45">
      <c r="A283" s="3">
        <v>277</v>
      </c>
      <c r="B283" s="9">
        <f t="shared" si="17"/>
        <v>0.98512922155983706</v>
      </c>
      <c r="C283" s="3">
        <f t="shared" si="18"/>
        <v>4375549.9504801724</v>
      </c>
      <c r="D283" s="3">
        <f t="shared" si="19"/>
        <v>527.88308543059975</v>
      </c>
      <c r="E283" s="8">
        <f t="shared" si="16"/>
        <v>39.571428571428569</v>
      </c>
      <c r="F283" s="3"/>
      <c r="G283" s="3"/>
      <c r="H283" s="3"/>
    </row>
    <row r="284" spans="1:8" ht="18.5" x14ac:dyDescent="0.45">
      <c r="A284" s="3">
        <v>278</v>
      </c>
      <c r="B284" s="9">
        <f t="shared" si="17"/>
        <v>0.98524683622710751</v>
      </c>
      <c r="C284" s="3">
        <f t="shared" si="18"/>
        <v>4376072.3477863204</v>
      </c>
      <c r="D284" s="3">
        <f t="shared" si="19"/>
        <v>522.39730614796281</v>
      </c>
      <c r="E284" s="8">
        <f t="shared" si="16"/>
        <v>39.714285714285715</v>
      </c>
      <c r="F284" s="3"/>
      <c r="G284" s="3"/>
      <c r="H284" s="3"/>
    </row>
    <row r="285" spans="1:8" ht="18.5" x14ac:dyDescent="0.45">
      <c r="A285" s="3">
        <v>279</v>
      </c>
      <c r="B285" s="9">
        <f t="shared" si="17"/>
        <v>0.98536323186721431</v>
      </c>
      <c r="C285" s="3">
        <f t="shared" si="18"/>
        <v>4376589.3306614188</v>
      </c>
      <c r="D285" s="3">
        <f t="shared" si="19"/>
        <v>516.98287509847432</v>
      </c>
      <c r="E285" s="8">
        <f t="shared" si="16"/>
        <v>39.857142857142854</v>
      </c>
      <c r="F285" s="3"/>
      <c r="G285" s="3"/>
      <c r="H285" s="3"/>
    </row>
    <row r="286" spans="1:8" ht="18.5" x14ac:dyDescent="0.45">
      <c r="A286" s="3">
        <v>280</v>
      </c>
      <c r="B286" s="9">
        <f t="shared" si="17"/>
        <v>0.98547842429117061</v>
      </c>
      <c r="C286" s="3">
        <f t="shared" si="18"/>
        <v>4377100.9693316631</v>
      </c>
      <c r="D286" s="3">
        <f t="shared" si="19"/>
        <v>511.63867024425417</v>
      </c>
      <c r="E286" s="8">
        <f t="shared" si="16"/>
        <v>40</v>
      </c>
      <c r="F286" s="3"/>
      <c r="G286" s="3"/>
      <c r="H286" s="3"/>
    </row>
    <row r="287" spans="1:8" ht="18.5" x14ac:dyDescent="0.45">
      <c r="A287" s="3">
        <v>281</v>
      </c>
      <c r="B287" s="9">
        <f t="shared" si="17"/>
        <v>0.9855924290620488</v>
      </c>
      <c r="C287" s="3">
        <f t="shared" si="18"/>
        <v>4377607.3329219958</v>
      </c>
      <c r="D287" s="3">
        <f t="shared" si="19"/>
        <v>506.36359033267945</v>
      </c>
      <c r="E287" s="8">
        <f t="shared" si="16"/>
        <v>40.142857142857146</v>
      </c>
      <c r="F287" s="3"/>
      <c r="G287" s="3"/>
      <c r="H287" s="3"/>
    </row>
    <row r="288" spans="1:8" ht="18.5" x14ac:dyDescent="0.45">
      <c r="A288" s="3">
        <v>282</v>
      </c>
      <c r="B288" s="9">
        <f t="shared" si="17"/>
        <v>0.98570526149955939</v>
      </c>
      <c r="C288" s="3">
        <f t="shared" si="18"/>
        <v>4378108.4894764433</v>
      </c>
      <c r="D288" s="3">
        <f t="shared" si="19"/>
        <v>501.156554447487</v>
      </c>
      <c r="E288" s="8">
        <f t="shared" si="16"/>
        <v>40.285714285714285</v>
      </c>
      <c r="F288" s="3"/>
      <c r="G288" s="3"/>
      <c r="H288" s="3"/>
    </row>
    <row r="289" spans="1:8" ht="18.5" x14ac:dyDescent="0.45">
      <c r="A289" s="3">
        <v>283</v>
      </c>
      <c r="B289" s="9">
        <f t="shared" si="17"/>
        <v>0.98581693668453207</v>
      </c>
      <c r="C289" s="3">
        <f t="shared" si="18"/>
        <v>4378604.505978018</v>
      </c>
      <c r="D289" s="3">
        <f t="shared" si="19"/>
        <v>496.01650157477707</v>
      </c>
      <c r="E289" s="8">
        <f t="shared" si="16"/>
        <v>40.428571428571431</v>
      </c>
      <c r="F289" s="3"/>
      <c r="G289" s="3"/>
      <c r="H289" s="3"/>
    </row>
    <row r="290" spans="1:8" ht="18.5" x14ac:dyDescent="0.45">
      <c r="A290" s="3">
        <v>284</v>
      </c>
      <c r="B290" s="9">
        <f t="shared" si="17"/>
        <v>0.98592746946330223</v>
      </c>
      <c r="C290" s="3">
        <f t="shared" si="18"/>
        <v>4379095.4483682029</v>
      </c>
      <c r="D290" s="3">
        <f t="shared" si="19"/>
        <v>490.9423901848495</v>
      </c>
      <c r="E290" s="8">
        <f t="shared" si="16"/>
        <v>40.571428571428569</v>
      </c>
      <c r="F290" s="3"/>
      <c r="G290" s="3"/>
      <c r="H290" s="3"/>
    </row>
    <row r="291" spans="1:8" ht="18.5" x14ac:dyDescent="0.45">
      <c r="A291" s="3">
        <v>285</v>
      </c>
      <c r="B291" s="9">
        <f t="shared" si="17"/>
        <v>0.98603687445200372</v>
      </c>
      <c r="C291" s="3">
        <f t="shared" si="18"/>
        <v>4379581.3815660197</v>
      </c>
      <c r="D291" s="3">
        <f t="shared" si="19"/>
        <v>485.93319781683385</v>
      </c>
      <c r="E291" s="8">
        <f t="shared" si="16"/>
        <v>40.714285714285715</v>
      </c>
      <c r="F291" s="3"/>
      <c r="G291" s="3"/>
      <c r="H291" s="3"/>
    </row>
    <row r="292" spans="1:8" ht="18.5" x14ac:dyDescent="0.45">
      <c r="A292" s="3">
        <v>286</v>
      </c>
      <c r="B292" s="9">
        <f t="shared" si="17"/>
        <v>0.9861451660407714</v>
      </c>
      <c r="C292" s="3">
        <f t="shared" si="18"/>
        <v>4380062.3694866905</v>
      </c>
      <c r="D292" s="3">
        <f t="shared" si="19"/>
        <v>480.98792067077011</v>
      </c>
      <c r="E292" s="8">
        <f t="shared" si="16"/>
        <v>40.857142857142854</v>
      </c>
      <c r="F292" s="3"/>
      <c r="G292" s="3"/>
      <c r="H292" s="3"/>
    </row>
    <row r="293" spans="1:8" ht="18.5" x14ac:dyDescent="0.45">
      <c r="A293" s="3">
        <v>287</v>
      </c>
      <c r="B293" s="9">
        <f t="shared" si="17"/>
        <v>0.9862523583978553</v>
      </c>
      <c r="C293" s="3">
        <f t="shared" si="18"/>
        <v>4380538.4750599144</v>
      </c>
      <c r="D293" s="3">
        <f t="shared" si="19"/>
        <v>476.10557322390378</v>
      </c>
      <c r="E293" s="8">
        <f t="shared" si="16"/>
        <v>41</v>
      </c>
      <c r="F293" s="3"/>
      <c r="G293" s="3"/>
      <c r="H293" s="3"/>
    </row>
    <row r="294" spans="1:8" ht="18.5" x14ac:dyDescent="0.45">
      <c r="A294" s="3">
        <v>288</v>
      </c>
      <c r="B294" s="9">
        <f t="shared" si="17"/>
        <v>0.98635846547364847</v>
      </c>
      <c r="C294" s="3">
        <f t="shared" si="18"/>
        <v>4381009.7602477567</v>
      </c>
      <c r="D294" s="3">
        <f t="shared" si="19"/>
        <v>471.28518784232438</v>
      </c>
      <c r="E294" s="8">
        <f t="shared" si="16"/>
        <v>41.142857142857146</v>
      </c>
      <c r="F294" s="3"/>
      <c r="G294" s="3"/>
      <c r="H294" s="3"/>
    </row>
    <row r="295" spans="1:8" ht="18.5" x14ac:dyDescent="0.45">
      <c r="A295" s="3">
        <v>289</v>
      </c>
      <c r="B295" s="9">
        <f t="shared" si="17"/>
        <v>0.98646350100462965</v>
      </c>
      <c r="C295" s="3">
        <f t="shared" si="18"/>
        <v>4381476.2860621633</v>
      </c>
      <c r="D295" s="3">
        <f t="shared" si="19"/>
        <v>466.52581440657377</v>
      </c>
      <c r="E295" s="8">
        <f t="shared" si="16"/>
        <v>41.285714285714285</v>
      </c>
      <c r="F295" s="3"/>
      <c r="G295" s="3"/>
      <c r="H295" s="3"/>
    </row>
    <row r="296" spans="1:8" ht="18.5" x14ac:dyDescent="0.45">
      <c r="A296" s="3">
        <v>290</v>
      </c>
      <c r="B296" s="9">
        <f t="shared" si="17"/>
        <v>0.98656747851722471</v>
      </c>
      <c r="C296" s="3">
        <f t="shared" si="18"/>
        <v>4381938.1125821052</v>
      </c>
      <c r="D296" s="3">
        <f t="shared" si="19"/>
        <v>461.8265199419111</v>
      </c>
      <c r="E296" s="8">
        <f t="shared" si="16"/>
        <v>41.428571428571431</v>
      </c>
      <c r="F296" s="3"/>
      <c r="G296" s="3"/>
      <c r="H296" s="3"/>
    </row>
    <row r="297" spans="1:8" ht="18.5" x14ac:dyDescent="0.45">
      <c r="A297" s="3">
        <v>291</v>
      </c>
      <c r="B297" s="9">
        <f t="shared" si="17"/>
        <v>0.98667041133158728</v>
      </c>
      <c r="C297" s="3">
        <f t="shared" si="18"/>
        <v>4382395.298970378</v>
      </c>
      <c r="D297" s="3">
        <f t="shared" si="19"/>
        <v>457.1863882727921</v>
      </c>
      <c r="E297" s="8">
        <f t="shared" si="16"/>
        <v>41.571428571428569</v>
      </c>
      <c r="F297" s="3"/>
      <c r="G297" s="3"/>
      <c r="H297" s="3"/>
    </row>
    <row r="298" spans="1:8" ht="18.5" x14ac:dyDescent="0.45">
      <c r="A298" s="3">
        <v>292</v>
      </c>
      <c r="B298" s="9">
        <f t="shared" si="17"/>
        <v>0.98677231256530085</v>
      </c>
      <c r="C298" s="3">
        <f t="shared" si="18"/>
        <v>4382847.9034900405</v>
      </c>
      <c r="D298" s="3">
        <f t="shared" si="19"/>
        <v>452.60451966244727</v>
      </c>
      <c r="E298" s="8">
        <f t="shared" si="16"/>
        <v>41.714285714285715</v>
      </c>
      <c r="F298" s="3"/>
      <c r="G298" s="3"/>
      <c r="H298" s="3"/>
    </row>
    <row r="299" spans="1:8" ht="18.5" x14ac:dyDescent="0.45">
      <c r="A299" s="3">
        <v>293</v>
      </c>
      <c r="B299" s="9">
        <f t="shared" si="17"/>
        <v>0.98687319513700422</v>
      </c>
      <c r="C299" s="3">
        <f t="shared" si="18"/>
        <v>4383295.9835205181</v>
      </c>
      <c r="D299" s="3">
        <f t="shared" si="19"/>
        <v>448.08003047760576</v>
      </c>
      <c r="E299" s="8">
        <f t="shared" si="16"/>
        <v>41.857142857142854</v>
      </c>
      <c r="F299" s="3"/>
      <c r="G299" s="3"/>
      <c r="H299" s="3"/>
    </row>
    <row r="300" spans="1:8" ht="18.5" x14ac:dyDescent="0.45">
      <c r="A300" s="3">
        <v>294</v>
      </c>
      <c r="B300" s="9">
        <f t="shared" si="17"/>
        <v>0.98697307176994198</v>
      </c>
      <c r="C300" s="3">
        <f t="shared" si="18"/>
        <v>4383739.5955733741</v>
      </c>
      <c r="D300" s="3">
        <f t="shared" si="19"/>
        <v>443.61205285601318</v>
      </c>
      <c r="E300" s="8">
        <f t="shared" si="16"/>
        <v>42</v>
      </c>
      <c r="F300" s="3"/>
      <c r="G300" s="3"/>
      <c r="H300" s="3"/>
    </row>
    <row r="301" spans="1:8" ht="18.5" x14ac:dyDescent="0.45">
      <c r="A301" s="3">
        <v>295</v>
      </c>
      <c r="B301" s="9">
        <f t="shared" si="17"/>
        <v>0.98707195499544265</v>
      </c>
      <c r="C301" s="3">
        <f t="shared" si="18"/>
        <v>4384178.7953077583</v>
      </c>
      <c r="D301" s="3">
        <f t="shared" si="19"/>
        <v>439.19973438419402</v>
      </c>
      <c r="E301" s="8">
        <f t="shared" si="16"/>
        <v>42.142857142857146</v>
      </c>
      <c r="F301" s="3"/>
      <c r="G301" s="3"/>
      <c r="H301" s="3"/>
    </row>
    <row r="302" spans="1:8" ht="18.5" x14ac:dyDescent="0.45">
      <c r="A302" s="3">
        <v>296</v>
      </c>
      <c r="B302" s="9">
        <f t="shared" si="17"/>
        <v>0.98716985715632466</v>
      </c>
      <c r="C302" s="3">
        <f t="shared" si="18"/>
        <v>4384613.6375455316</v>
      </c>
      <c r="D302" s="3">
        <f t="shared" si="19"/>
        <v>434.84223777335137</v>
      </c>
      <c r="E302" s="8">
        <f t="shared" si="16"/>
        <v>42.285714285714285</v>
      </c>
      <c r="F302" s="3"/>
      <c r="G302" s="3"/>
      <c r="H302" s="3"/>
    </row>
    <row r="303" spans="1:8" ht="18.5" x14ac:dyDescent="0.45">
      <c r="A303" s="3">
        <v>297</v>
      </c>
      <c r="B303" s="9">
        <f t="shared" si="17"/>
        <v>0.98726679041023291</v>
      </c>
      <c r="C303" s="3">
        <f t="shared" si="18"/>
        <v>4385044.1762860902</v>
      </c>
      <c r="D303" s="3">
        <f t="shared" si="19"/>
        <v>430.53874055854976</v>
      </c>
      <c r="E303" s="8">
        <f t="shared" si="16"/>
        <v>42.428571428571431</v>
      </c>
      <c r="F303" s="3"/>
      <c r="G303" s="3"/>
      <c r="H303" s="3"/>
    </row>
    <row r="304" spans="1:8" ht="18.5" x14ac:dyDescent="0.45">
      <c r="A304" s="3">
        <v>298</v>
      </c>
      <c r="B304" s="9">
        <f t="shared" si="17"/>
        <v>0.98736276673290713</v>
      </c>
      <c r="C304" s="3">
        <f t="shared" si="18"/>
        <v>4385470.4647208806</v>
      </c>
      <c r="D304" s="3">
        <f t="shared" si="19"/>
        <v>426.28843479044735</v>
      </c>
      <c r="E304" s="8">
        <f t="shared" si="16"/>
        <v>42.571428571428569</v>
      </c>
      <c r="F304" s="3"/>
      <c r="G304" s="3"/>
      <c r="H304" s="3"/>
    </row>
    <row r="305" spans="1:8" ht="18.5" x14ac:dyDescent="0.45">
      <c r="A305" s="3">
        <v>299</v>
      </c>
      <c r="B305" s="9">
        <f t="shared" si="17"/>
        <v>0.987457797921384</v>
      </c>
      <c r="C305" s="3">
        <f t="shared" si="18"/>
        <v>4385892.5552476188</v>
      </c>
      <c r="D305" s="3">
        <f t="shared" si="19"/>
        <v>422.09052673820406</v>
      </c>
      <c r="E305" s="8">
        <f t="shared" si="16"/>
        <v>42.714285714285715</v>
      </c>
      <c r="F305" s="3"/>
      <c r="G305" s="3"/>
      <c r="H305" s="3"/>
    </row>
    <row r="306" spans="1:8" ht="18.5" x14ac:dyDescent="0.45">
      <c r="A306" s="3">
        <v>300</v>
      </c>
      <c r="B306" s="9">
        <f t="shared" si="17"/>
        <v>0.98755189559713419</v>
      </c>
      <c r="C306" s="3">
        <f t="shared" si="18"/>
        <v>4386310.4994842308</v>
      </c>
      <c r="D306" s="3">
        <f t="shared" si="19"/>
        <v>417.94423661194742</v>
      </c>
      <c r="E306" s="8">
        <f t="shared" si="16"/>
        <v>42.857142857142854</v>
      </c>
      <c r="F306" s="3"/>
      <c r="G306" s="3"/>
      <c r="H306" s="3"/>
    </row>
    <row r="307" spans="1:8" ht="18.5" x14ac:dyDescent="0.45">
      <c r="A307" s="3">
        <v>301</v>
      </c>
      <c r="B307" s="9">
        <f t="shared" si="17"/>
        <v>0.98764507120913581</v>
      </c>
      <c r="C307" s="3">
        <f t="shared" si="18"/>
        <v>4386724.3482824974</v>
      </c>
      <c r="D307" s="3">
        <f t="shared" si="19"/>
        <v>413.84879826661199</v>
      </c>
      <c r="E307" s="8">
        <f t="shared" si="16"/>
        <v>43</v>
      </c>
      <c r="F307" s="3"/>
      <c r="G307" s="3"/>
      <c r="H307" s="3"/>
    </row>
    <row r="308" spans="1:8" ht="18.5" x14ac:dyDescent="0.45">
      <c r="A308" s="3">
        <v>302</v>
      </c>
      <c r="B308" s="9">
        <f t="shared" si="17"/>
        <v>0.98773733603688563</v>
      </c>
      <c r="C308" s="3">
        <f t="shared" si="18"/>
        <v>4387134.1517414311</v>
      </c>
      <c r="D308" s="3">
        <f t="shared" si="19"/>
        <v>409.8034589337185</v>
      </c>
      <c r="E308" s="8">
        <f t="shared" si="16"/>
        <v>43.142857142857146</v>
      </c>
      <c r="F308" s="3"/>
      <c r="G308" s="3"/>
      <c r="H308" s="3"/>
    </row>
    <row r="309" spans="1:8" ht="18.5" x14ac:dyDescent="0.45">
      <c r="A309" s="3">
        <v>303</v>
      </c>
      <c r="B309" s="9">
        <f t="shared" si="17"/>
        <v>0.98782870119335031</v>
      </c>
      <c r="C309" s="3">
        <f t="shared" si="18"/>
        <v>4387539.9592203852</v>
      </c>
      <c r="D309" s="3">
        <f t="shared" si="19"/>
        <v>405.80747895408422</v>
      </c>
      <c r="E309" s="8">
        <f t="shared" si="16"/>
        <v>43.285714285714285</v>
      </c>
      <c r="F309" s="3"/>
      <c r="G309" s="3"/>
      <c r="H309" s="3"/>
    </row>
    <row r="310" spans="1:8" ht="18.5" x14ac:dyDescent="0.45">
      <c r="A310" s="3">
        <v>304</v>
      </c>
      <c r="B310" s="9">
        <f t="shared" si="17"/>
        <v>0.98791917762785797</v>
      </c>
      <c r="C310" s="3">
        <f t="shared" si="18"/>
        <v>4387941.8193518938</v>
      </c>
      <c r="D310" s="3">
        <f t="shared" si="19"/>
        <v>401.86013150867075</v>
      </c>
      <c r="E310" s="8">
        <f t="shared" si="16"/>
        <v>43.428571428571431</v>
      </c>
      <c r="F310" s="3"/>
      <c r="G310" s="3"/>
      <c r="H310" s="3"/>
    </row>
    <row r="311" spans="1:8" ht="18.5" x14ac:dyDescent="0.45">
      <c r="A311" s="3">
        <v>305</v>
      </c>
      <c r="B311" s="9">
        <f t="shared" si="17"/>
        <v>0.98800877612893179</v>
      </c>
      <c r="C311" s="3">
        <f t="shared" si="18"/>
        <v>4388339.7800542638</v>
      </c>
      <c r="D311" s="3">
        <f t="shared" si="19"/>
        <v>397.96070236992091</v>
      </c>
      <c r="E311" s="8">
        <f t="shared" si="16"/>
        <v>43.571428571428569</v>
      </c>
      <c r="F311" s="3"/>
      <c r="G311" s="3"/>
      <c r="H311" s="3"/>
    </row>
    <row r="312" spans="1:8" ht="18.5" x14ac:dyDescent="0.45">
      <c r="A312" s="3">
        <v>306</v>
      </c>
      <c r="B312" s="9">
        <f t="shared" si="17"/>
        <v>0.98809750732706747</v>
      </c>
      <c r="C312" s="3">
        <f t="shared" si="18"/>
        <v>4388733.8885439029</v>
      </c>
      <c r="D312" s="3">
        <f t="shared" si="19"/>
        <v>394.10848963912576</v>
      </c>
      <c r="E312" s="8">
        <f t="shared" si="16"/>
        <v>43.714285714285715</v>
      </c>
      <c r="F312" s="3"/>
      <c r="G312" s="3"/>
      <c r="H312" s="3"/>
    </row>
    <row r="313" spans="1:8" ht="18.5" x14ac:dyDescent="0.45">
      <c r="A313" s="3">
        <v>307</v>
      </c>
      <c r="B313" s="9">
        <f t="shared" si="17"/>
        <v>0.98818538169745529</v>
      </c>
      <c r="C313" s="3">
        <f t="shared" si="18"/>
        <v>4389124.1913474174</v>
      </c>
      <c r="D313" s="3">
        <f t="shared" si="19"/>
        <v>390.30280351452529</v>
      </c>
      <c r="E313" s="8">
        <f t="shared" si="16"/>
        <v>43.857142857142854</v>
      </c>
      <c r="F313" s="3"/>
      <c r="G313" s="3"/>
      <c r="H313" s="3"/>
    </row>
    <row r="314" spans="1:8" ht="18.5" x14ac:dyDescent="0.45">
      <c r="A314" s="3">
        <v>308</v>
      </c>
      <c r="B314" s="9">
        <f t="shared" si="17"/>
        <v>0.98827240956264739</v>
      </c>
      <c r="C314" s="3">
        <f t="shared" si="18"/>
        <v>4389510.7343134545</v>
      </c>
      <c r="D314" s="3">
        <f t="shared" si="19"/>
        <v>386.54296603705734</v>
      </c>
      <c r="E314" s="8">
        <f t="shared" si="16"/>
        <v>44</v>
      </c>
      <c r="F314" s="3"/>
      <c r="G314" s="3"/>
      <c r="H314" s="3"/>
    </row>
    <row r="315" spans="1:8" ht="18.5" x14ac:dyDescent="0.45">
      <c r="A315" s="3">
        <v>309</v>
      </c>
      <c r="B315" s="9">
        <f t="shared" si="17"/>
        <v>0.98835860109517359</v>
      </c>
      <c r="C315" s="3">
        <f t="shared" si="18"/>
        <v>4389893.5626243232</v>
      </c>
      <c r="D315" s="3">
        <f t="shared" si="19"/>
        <v>382.82831086870283</v>
      </c>
      <c r="E315" s="8">
        <f t="shared" si="16"/>
        <v>44.142857142857146</v>
      </c>
      <c r="F315" s="3"/>
      <c r="G315" s="3"/>
      <c r="H315" s="3"/>
    </row>
    <row r="316" spans="1:8" ht="18.5" x14ac:dyDescent="0.45">
      <c r="A316" s="3">
        <v>310</v>
      </c>
      <c r="B316" s="9">
        <f t="shared" si="17"/>
        <v>0.98844396632010467</v>
      </c>
      <c r="C316" s="3">
        <f t="shared" si="18"/>
        <v>4390272.7208073772</v>
      </c>
      <c r="D316" s="3">
        <f t="shared" si="19"/>
        <v>379.15818305406719</v>
      </c>
      <c r="E316" s="8">
        <f t="shared" si="16"/>
        <v>44.285714285714285</v>
      </c>
      <c r="F316" s="3"/>
      <c r="G316" s="3"/>
      <c r="H316" s="3"/>
    </row>
    <row r="317" spans="1:8" ht="18.5" x14ac:dyDescent="0.45">
      <c r="A317" s="3">
        <v>311</v>
      </c>
      <c r="B317" s="9">
        <f t="shared" si="17"/>
        <v>0.9885285151175649</v>
      </c>
      <c r="C317" s="3">
        <f t="shared" si="18"/>
        <v>4390648.252746176</v>
      </c>
      <c r="D317" s="3">
        <f t="shared" si="19"/>
        <v>375.53193879872561</v>
      </c>
      <c r="E317" s="8">
        <f t="shared" si="16"/>
        <v>44.428571428571431</v>
      </c>
      <c r="F317" s="3"/>
      <c r="G317" s="3"/>
      <c r="H317" s="3"/>
    </row>
    <row r="318" spans="1:8" ht="18.5" x14ac:dyDescent="0.45">
      <c r="A318" s="3">
        <v>312</v>
      </c>
      <c r="B318" s="9">
        <f t="shared" si="17"/>
        <v>0.98861225722519663</v>
      </c>
      <c r="C318" s="3">
        <f t="shared" si="18"/>
        <v>4391020.2016914338</v>
      </c>
      <c r="D318" s="3">
        <f t="shared" si="19"/>
        <v>371.94894525781274</v>
      </c>
      <c r="E318" s="8">
        <f t="shared" si="16"/>
        <v>44.571428571428569</v>
      </c>
      <c r="F318" s="3"/>
      <c r="G318" s="3"/>
      <c r="H318" s="3"/>
    </row>
    <row r="319" spans="1:8" ht="18.5" x14ac:dyDescent="0.45">
      <c r="A319" s="3">
        <v>313</v>
      </c>
      <c r="B319" s="9">
        <f t="shared" si="17"/>
        <v>0.98869520224057461</v>
      </c>
      <c r="C319" s="3">
        <f t="shared" si="18"/>
        <v>4391388.610271736</v>
      </c>
      <c r="D319" s="3">
        <f t="shared" si="19"/>
        <v>368.40858030226082</v>
      </c>
      <c r="E319" s="8">
        <f t="shared" si="16"/>
        <v>44.714285714285715</v>
      </c>
      <c r="F319" s="3"/>
      <c r="G319" s="3"/>
      <c r="H319" s="3"/>
    </row>
    <row r="320" spans="1:8" ht="18.5" x14ac:dyDescent="0.45">
      <c r="A320" s="3">
        <v>314</v>
      </c>
      <c r="B320" s="9">
        <f t="shared" si="17"/>
        <v>0.98877735962357516</v>
      </c>
      <c r="C320" s="3">
        <f t="shared" si="18"/>
        <v>4391753.5205040714</v>
      </c>
      <c r="D320" s="3">
        <f t="shared" si="19"/>
        <v>364.91023233532906</v>
      </c>
      <c r="E320" s="8">
        <f t="shared" si="16"/>
        <v>44.857142857142854</v>
      </c>
      <c r="F320" s="3"/>
      <c r="G320" s="3"/>
      <c r="H320" s="3"/>
    </row>
    <row r="321" spans="1:8" ht="18.5" x14ac:dyDescent="0.45">
      <c r="A321" s="3">
        <v>315</v>
      </c>
      <c r="B321" s="9">
        <f t="shared" si="17"/>
        <v>0.98885873869869767</v>
      </c>
      <c r="C321" s="3">
        <f t="shared" si="18"/>
        <v>4392114.9738041358</v>
      </c>
      <c r="D321" s="3">
        <f t="shared" si="19"/>
        <v>361.45330006442964</v>
      </c>
      <c r="E321" s="8">
        <f t="shared" si="16"/>
        <v>45</v>
      </c>
      <c r="F321" s="3"/>
      <c r="G321" s="3"/>
      <c r="H321" s="3"/>
    </row>
    <row r="322" spans="1:8" ht="18.5" x14ac:dyDescent="0.45">
      <c r="A322" s="3">
        <v>316</v>
      </c>
      <c r="B322" s="9">
        <f t="shared" si="17"/>
        <v>0.9889393486573419</v>
      </c>
      <c r="C322" s="3">
        <f t="shared" si="18"/>
        <v>4392473.0109964497</v>
      </c>
      <c r="D322" s="3">
        <f t="shared" si="19"/>
        <v>358.03719231393188</v>
      </c>
      <c r="E322" s="8">
        <f t="shared" si="16"/>
        <v>45.142857142857146</v>
      </c>
      <c r="F322" s="3"/>
      <c r="G322" s="3"/>
      <c r="H322" s="3"/>
    </row>
    <row r="323" spans="1:8" ht="18.5" x14ac:dyDescent="0.45">
      <c r="A323" s="3">
        <v>317</v>
      </c>
      <c r="B323" s="9">
        <f t="shared" si="17"/>
        <v>0.98901919856004061</v>
      </c>
      <c r="C323" s="3">
        <f t="shared" si="18"/>
        <v>4392827.6723242765</v>
      </c>
      <c r="D323" s="3">
        <f t="shared" si="19"/>
        <v>354.66132782679051</v>
      </c>
      <c r="E323" s="8">
        <f t="shared" si="16"/>
        <v>45.285714285714285</v>
      </c>
      <c r="F323" s="3"/>
      <c r="G323" s="3"/>
      <c r="H323" s="3"/>
    </row>
    <row r="324" spans="1:8" ht="18.5" x14ac:dyDescent="0.45">
      <c r="A324" s="3">
        <v>318</v>
      </c>
      <c r="B324" s="9">
        <f t="shared" si="17"/>
        <v>0.98909829733864962</v>
      </c>
      <c r="C324" s="3">
        <f t="shared" si="18"/>
        <v>4393178.9974593464</v>
      </c>
      <c r="D324" s="3">
        <f t="shared" si="19"/>
        <v>351.32513506989926</v>
      </c>
      <c r="E324" s="8">
        <f t="shared" si="16"/>
        <v>45.428571428571431</v>
      </c>
      <c r="F324" s="3"/>
      <c r="G324" s="3"/>
      <c r="H324" s="3"/>
    </row>
    <row r="325" spans="1:8" ht="18.5" x14ac:dyDescent="0.45">
      <c r="A325" s="3">
        <v>319</v>
      </c>
      <c r="B325" s="9">
        <f t="shared" si="17"/>
        <v>0.98917665379849484</v>
      </c>
      <c r="C325" s="3">
        <f t="shared" si="18"/>
        <v>4393527.0255113943</v>
      </c>
      <c r="D325" s="3">
        <f t="shared" si="19"/>
        <v>348.02805204782635</v>
      </c>
      <c r="E325" s="8">
        <f t="shared" si="16"/>
        <v>45.571428571428569</v>
      </c>
      <c r="F325" s="3"/>
      <c r="G325" s="3"/>
      <c r="H325" s="3"/>
    </row>
    <row r="326" spans="1:8" ht="18.5" x14ac:dyDescent="0.45">
      <c r="A326" s="3">
        <v>320</v>
      </c>
      <c r="B326" s="9">
        <f t="shared" si="17"/>
        <v>0.98925427662047904</v>
      </c>
      <c r="C326" s="3">
        <f t="shared" si="18"/>
        <v>4393871.7950375201</v>
      </c>
      <c r="D326" s="3">
        <f t="shared" si="19"/>
        <v>344.76952612586319</v>
      </c>
      <c r="E326" s="8">
        <f t="shared" si="16"/>
        <v>45.714285714285715</v>
      </c>
      <c r="F326" s="3"/>
      <c r="G326" s="3"/>
      <c r="H326" s="3"/>
    </row>
    <row r="327" spans="1:8" ht="18.5" x14ac:dyDescent="0.45">
      <c r="A327" s="3">
        <v>321</v>
      </c>
      <c r="B327" s="9">
        <f t="shared" si="17"/>
        <v>0.98933117436314733</v>
      </c>
      <c r="C327" s="3">
        <f t="shared" si="18"/>
        <v>4394213.3440513555</v>
      </c>
      <c r="D327" s="3">
        <f t="shared" si="19"/>
        <v>341.54901383537799</v>
      </c>
      <c r="E327" s="8">
        <f t="shared" ref="E327:E390" si="20">A327/7</f>
        <v>45.857142857142854</v>
      </c>
      <c r="F327" s="3"/>
      <c r="G327" s="3"/>
      <c r="H327" s="3"/>
    </row>
    <row r="328" spans="1:8" ht="18.5" x14ac:dyDescent="0.45">
      <c r="A328" s="3">
        <v>322</v>
      </c>
      <c r="B328" s="9">
        <f t="shared" ref="B328:B391" si="21">LOGNORMDIST(A328,$A$3,$B$3)</f>
        <v>0.98940735546471348</v>
      </c>
      <c r="C328" s="3">
        <f t="shared" ref="C328:C391" si="22">$E$3*B328</f>
        <v>4394551.710032071</v>
      </c>
      <c r="D328" s="3">
        <f t="shared" ref="D328:D391" si="23">C328-C327</f>
        <v>338.36598071549088</v>
      </c>
      <c r="E328" s="8">
        <f t="shared" si="20"/>
        <v>46</v>
      </c>
      <c r="F328" s="3"/>
      <c r="G328" s="3"/>
      <c r="H328" s="3"/>
    </row>
    <row r="329" spans="1:8" ht="18.5" x14ac:dyDescent="0.45">
      <c r="A329" s="3">
        <v>323</v>
      </c>
      <c r="B329" s="9">
        <f t="shared" si="21"/>
        <v>0.98948282824504807</v>
      </c>
      <c r="C329" s="3">
        <f t="shared" si="22"/>
        <v>4394886.9299332052</v>
      </c>
      <c r="D329" s="3">
        <f t="shared" si="23"/>
        <v>335.21990113426</v>
      </c>
      <c r="E329" s="8">
        <f t="shared" si="20"/>
        <v>46.142857142857146</v>
      </c>
      <c r="F329" s="3"/>
      <c r="G329" s="3"/>
      <c r="H329" s="3"/>
    </row>
    <row r="330" spans="1:8" ht="18.5" x14ac:dyDescent="0.45">
      <c r="A330" s="3">
        <v>324</v>
      </c>
      <c r="B330" s="9">
        <f t="shared" si="21"/>
        <v>0.98955760090762768</v>
      </c>
      <c r="C330" s="3">
        <f t="shared" si="22"/>
        <v>4395219.0401913188</v>
      </c>
      <c r="D330" s="3">
        <f t="shared" si="23"/>
        <v>332.11025811359286</v>
      </c>
      <c r="E330" s="8">
        <f t="shared" si="20"/>
        <v>46.285714285714285</v>
      </c>
      <c r="F330" s="3"/>
      <c r="G330" s="3"/>
      <c r="H330" s="3"/>
    </row>
    <row r="331" spans="1:8" ht="18.5" x14ac:dyDescent="0.45">
      <c r="A331" s="3">
        <v>325</v>
      </c>
      <c r="B331" s="9">
        <f t="shared" si="21"/>
        <v>0.98963168154144832</v>
      </c>
      <c r="C331" s="3">
        <f t="shared" si="22"/>
        <v>4395548.0767344972</v>
      </c>
      <c r="D331" s="3">
        <f t="shared" si="23"/>
        <v>329.03654317837209</v>
      </c>
      <c r="E331" s="8">
        <f t="shared" si="20"/>
        <v>46.428571428571431</v>
      </c>
      <c r="F331" s="3"/>
      <c r="G331" s="3"/>
      <c r="H331" s="3"/>
    </row>
    <row r="332" spans="1:8" ht="18.5" x14ac:dyDescent="0.45">
      <c r="A332" s="3">
        <v>326</v>
      </c>
      <c r="B332" s="9">
        <f t="shared" si="21"/>
        <v>0.98970507812290209</v>
      </c>
      <c r="C332" s="3">
        <f t="shared" si="22"/>
        <v>4395874.0749906823</v>
      </c>
      <c r="D332" s="3">
        <f t="shared" si="23"/>
        <v>325.99825618509203</v>
      </c>
      <c r="E332" s="8">
        <f t="shared" si="20"/>
        <v>46.571428571428569</v>
      </c>
      <c r="F332" s="3"/>
      <c r="G332" s="3"/>
      <c r="H332" s="3"/>
    </row>
    <row r="333" spans="1:8" ht="18.5" x14ac:dyDescent="0.45">
      <c r="A333" s="3">
        <v>327</v>
      </c>
      <c r="B333" s="9">
        <f t="shared" si="21"/>
        <v>0.98977779851761793</v>
      </c>
      <c r="C333" s="3">
        <f t="shared" si="22"/>
        <v>4396197.0698958514</v>
      </c>
      <c r="D333" s="3">
        <f t="shared" si="23"/>
        <v>322.99490516912192</v>
      </c>
      <c r="E333" s="8">
        <f t="shared" si="20"/>
        <v>46.714285714285715</v>
      </c>
      <c r="F333" s="3"/>
      <c r="G333" s="3"/>
      <c r="H333" s="3"/>
    </row>
    <row r="334" spans="1:8" ht="18.5" x14ac:dyDescent="0.45">
      <c r="A334" s="3">
        <v>328</v>
      </c>
      <c r="B334" s="9">
        <f t="shared" si="21"/>
        <v>0.9898498504822687</v>
      </c>
      <c r="C334" s="3">
        <f t="shared" si="22"/>
        <v>4396517.0959020443</v>
      </c>
      <c r="D334" s="3">
        <f t="shared" si="23"/>
        <v>320.02600619290024</v>
      </c>
      <c r="E334" s="8">
        <f t="shared" si="20"/>
        <v>46.857142857142854</v>
      </c>
      <c r="F334" s="3"/>
      <c r="G334" s="3"/>
      <c r="H334" s="3"/>
    </row>
    <row r="335" spans="1:8" ht="18.5" x14ac:dyDescent="0.45">
      <c r="A335" s="3">
        <v>329</v>
      </c>
      <c r="B335" s="9">
        <f t="shared" si="21"/>
        <v>0.98992124166634377</v>
      </c>
      <c r="C335" s="3">
        <f t="shared" si="22"/>
        <v>4396834.1869852329</v>
      </c>
      <c r="D335" s="3">
        <f t="shared" si="23"/>
        <v>317.09108318854123</v>
      </c>
      <c r="E335" s="8">
        <f t="shared" si="20"/>
        <v>47</v>
      </c>
      <c r="F335" s="3"/>
      <c r="G335" s="3"/>
      <c r="H335" s="3"/>
    </row>
    <row r="336" spans="1:8" ht="18.5" x14ac:dyDescent="0.45">
      <c r="A336" s="3">
        <v>330</v>
      </c>
      <c r="B336" s="9">
        <f t="shared" si="21"/>
        <v>0.98999197961388841</v>
      </c>
      <c r="C336" s="3">
        <f t="shared" si="22"/>
        <v>4397148.3766530463</v>
      </c>
      <c r="D336" s="3">
        <f t="shared" si="23"/>
        <v>314.1896678134799</v>
      </c>
      <c r="E336" s="8">
        <f t="shared" si="20"/>
        <v>47.142857142857146</v>
      </c>
      <c r="F336" s="3"/>
      <c r="G336" s="3"/>
      <c r="H336" s="3"/>
    </row>
    <row r="337" spans="1:8" ht="18.5" x14ac:dyDescent="0.45">
      <c r="A337" s="3">
        <v>331</v>
      </c>
      <c r="B337" s="9">
        <f t="shared" si="21"/>
        <v>0.99006207176521055</v>
      </c>
      <c r="C337" s="3">
        <f t="shared" si="22"/>
        <v>4397459.697952359</v>
      </c>
      <c r="D337" s="3">
        <f t="shared" si="23"/>
        <v>311.32129931263626</v>
      </c>
      <c r="E337" s="8">
        <f t="shared" si="20"/>
        <v>47.285714285714285</v>
      </c>
      <c r="F337" s="3"/>
      <c r="G337" s="3"/>
      <c r="H337" s="3"/>
    </row>
    <row r="338" spans="1:8" ht="18.5" x14ac:dyDescent="0.45">
      <c r="A338" s="3">
        <v>332</v>
      </c>
      <c r="B338" s="9">
        <f t="shared" si="21"/>
        <v>0.99013152545855621</v>
      </c>
      <c r="C338" s="3">
        <f t="shared" si="22"/>
        <v>4397768.1834767228</v>
      </c>
      <c r="D338" s="3">
        <f t="shared" si="23"/>
        <v>308.48552436381578</v>
      </c>
      <c r="E338" s="8">
        <f t="shared" si="20"/>
        <v>47.428571428571431</v>
      </c>
      <c r="F338" s="3"/>
      <c r="G338" s="3"/>
      <c r="H338" s="3"/>
    </row>
    <row r="339" spans="1:8" ht="18.5" x14ac:dyDescent="0.45">
      <c r="A339" s="3">
        <v>333</v>
      </c>
      <c r="B339" s="9">
        <f t="shared" si="21"/>
        <v>0.99020034793175349</v>
      </c>
      <c r="C339" s="3">
        <f t="shared" si="22"/>
        <v>4398073.8653736766</v>
      </c>
      <c r="D339" s="3">
        <f t="shared" si="23"/>
        <v>305.68189695384353</v>
      </c>
      <c r="E339" s="8">
        <f t="shared" si="20"/>
        <v>47.571428571428569</v>
      </c>
      <c r="F339" s="3"/>
      <c r="G339" s="3"/>
      <c r="H339" s="3"/>
    </row>
    <row r="340" spans="1:8" ht="18.5" x14ac:dyDescent="0.45">
      <c r="A340" s="3">
        <v>334</v>
      </c>
      <c r="B340" s="9">
        <f t="shared" si="21"/>
        <v>0.99026854632382555</v>
      </c>
      <c r="C340" s="3">
        <f t="shared" si="22"/>
        <v>4398376.7753519034</v>
      </c>
      <c r="D340" s="3">
        <f t="shared" si="23"/>
        <v>302.90997822675854</v>
      </c>
      <c r="E340" s="8">
        <f t="shared" si="20"/>
        <v>47.714285714285715</v>
      </c>
      <c r="F340" s="3"/>
      <c r="G340" s="3"/>
      <c r="H340" s="3"/>
    </row>
    <row r="341" spans="1:8" ht="18.5" x14ac:dyDescent="0.45">
      <c r="A341" s="3">
        <v>335</v>
      </c>
      <c r="B341" s="9">
        <f t="shared" si="21"/>
        <v>0.99033612767657531</v>
      </c>
      <c r="C341" s="3">
        <f t="shared" si="22"/>
        <v>4398676.9446882773</v>
      </c>
      <c r="D341" s="3">
        <f t="shared" si="23"/>
        <v>300.16933637391776</v>
      </c>
      <c r="E341" s="8">
        <f t="shared" si="20"/>
        <v>47.857142857142854</v>
      </c>
      <c r="F341" s="3"/>
      <c r="G341" s="3"/>
      <c r="H341" s="3"/>
    </row>
    <row r="342" spans="1:8" ht="18.5" x14ac:dyDescent="0.45">
      <c r="A342" s="3">
        <v>336</v>
      </c>
      <c r="B342" s="9">
        <f t="shared" si="21"/>
        <v>0.99040309893613876</v>
      </c>
      <c r="C342" s="3">
        <f t="shared" si="22"/>
        <v>4398974.4042347539</v>
      </c>
      <c r="D342" s="3">
        <f t="shared" si="23"/>
        <v>297.45954647660255</v>
      </c>
      <c r="E342" s="8">
        <f t="shared" si="20"/>
        <v>48</v>
      </c>
      <c r="F342" s="3"/>
      <c r="G342" s="3"/>
      <c r="H342" s="3"/>
    </row>
    <row r="343" spans="1:8" ht="18.5" x14ac:dyDescent="0.45">
      <c r="A343" s="3">
        <v>337</v>
      </c>
      <c r="B343" s="9">
        <f t="shared" si="21"/>
        <v>0.99046946695451155</v>
      </c>
      <c r="C343" s="3">
        <f t="shared" si="22"/>
        <v>4399269.1844251584</v>
      </c>
      <c r="D343" s="3">
        <f t="shared" si="23"/>
        <v>294.78019040450454</v>
      </c>
      <c r="E343" s="8">
        <f t="shared" si="20"/>
        <v>48.142857142857146</v>
      </c>
      <c r="F343" s="3"/>
      <c r="G343" s="3"/>
      <c r="H343" s="3"/>
    </row>
    <row r="344" spans="1:8" ht="18.5" x14ac:dyDescent="0.45">
      <c r="A344" s="3">
        <v>338</v>
      </c>
      <c r="B344" s="9">
        <f t="shared" si="21"/>
        <v>0.99053523849104674</v>
      </c>
      <c r="C344" s="3">
        <f t="shared" si="22"/>
        <v>4399561.3152818335</v>
      </c>
      <c r="D344" s="3">
        <f t="shared" si="23"/>
        <v>292.13085667509586</v>
      </c>
      <c r="E344" s="8">
        <f t="shared" si="20"/>
        <v>48.285714285714285</v>
      </c>
      <c r="F344" s="3"/>
      <c r="G344" s="3"/>
      <c r="H344" s="3"/>
    </row>
    <row r="345" spans="1:8" ht="18.5" x14ac:dyDescent="0.45">
      <c r="A345" s="3">
        <v>339</v>
      </c>
      <c r="B345" s="9">
        <f t="shared" si="21"/>
        <v>0.99060042021392469</v>
      </c>
      <c r="C345" s="3">
        <f t="shared" si="22"/>
        <v>4399850.8264221679</v>
      </c>
      <c r="D345" s="3">
        <f t="shared" si="23"/>
        <v>289.51114033441991</v>
      </c>
      <c r="E345" s="8">
        <f t="shared" si="20"/>
        <v>48.428571428571431</v>
      </c>
      <c r="F345" s="3"/>
      <c r="G345" s="3"/>
      <c r="H345" s="3"/>
    </row>
    <row r="346" spans="1:8" ht="18.5" x14ac:dyDescent="0.45">
      <c r="A346" s="3">
        <v>340</v>
      </c>
      <c r="B346" s="9">
        <f t="shared" si="21"/>
        <v>0.99066501870159718</v>
      </c>
      <c r="C346" s="3">
        <f t="shared" si="22"/>
        <v>4400137.7470650142</v>
      </c>
      <c r="D346" s="3">
        <f t="shared" si="23"/>
        <v>286.92064284626395</v>
      </c>
      <c r="E346" s="8">
        <f t="shared" si="20"/>
        <v>48.571428571428569</v>
      </c>
      <c r="F346" s="3"/>
      <c r="G346" s="3"/>
      <c r="H346" s="3"/>
    </row>
    <row r="347" spans="1:8" ht="18.5" x14ac:dyDescent="0.45">
      <c r="A347" s="3">
        <v>341</v>
      </c>
      <c r="B347" s="9">
        <f t="shared" si="21"/>
        <v>0.9907290404442044</v>
      </c>
      <c r="C347" s="3">
        <f t="shared" si="22"/>
        <v>4400422.1060369778</v>
      </c>
      <c r="D347" s="3">
        <f t="shared" si="23"/>
        <v>284.35897196363658</v>
      </c>
      <c r="E347" s="8">
        <f t="shared" si="20"/>
        <v>48.714285714285715</v>
      </c>
      <c r="F347" s="3"/>
      <c r="G347" s="3"/>
      <c r="H347" s="3"/>
    </row>
    <row r="348" spans="1:8" ht="18.5" x14ac:dyDescent="0.45">
      <c r="A348" s="3">
        <v>342</v>
      </c>
      <c r="B348" s="9">
        <f t="shared" si="21"/>
        <v>0.99079249184496654</v>
      </c>
      <c r="C348" s="3">
        <f t="shared" si="22"/>
        <v>4400703.9317786032</v>
      </c>
      <c r="D348" s="3">
        <f t="shared" si="23"/>
        <v>281.82574162539095</v>
      </c>
      <c r="E348" s="8">
        <f t="shared" si="20"/>
        <v>48.857142857142854</v>
      </c>
      <c r="F348" s="3"/>
      <c r="G348" s="3"/>
      <c r="H348" s="3"/>
    </row>
    <row r="349" spans="1:8" ht="18.5" x14ac:dyDescent="0.45">
      <c r="A349" s="3">
        <v>343</v>
      </c>
      <c r="B349" s="9">
        <f t="shared" si="21"/>
        <v>0.99085537922154976</v>
      </c>
      <c r="C349" s="3">
        <f t="shared" si="22"/>
        <v>4400983.2523504356</v>
      </c>
      <c r="D349" s="3">
        <f t="shared" si="23"/>
        <v>279.32057183235884</v>
      </c>
      <c r="E349" s="8">
        <f t="shared" si="20"/>
        <v>49</v>
      </c>
      <c r="F349" s="3"/>
      <c r="G349" s="3"/>
      <c r="H349" s="3"/>
    </row>
    <row r="350" spans="1:8" ht="18.5" x14ac:dyDescent="0.45">
      <c r="A350" s="3">
        <v>344</v>
      </c>
      <c r="B350" s="9">
        <f t="shared" si="21"/>
        <v>0.99091770880740793</v>
      </c>
      <c r="C350" s="3">
        <f t="shared" si="22"/>
        <v>4401260.0954389833</v>
      </c>
      <c r="D350" s="3">
        <f t="shared" si="23"/>
        <v>276.84308854769915</v>
      </c>
      <c r="E350" s="8">
        <f t="shared" si="20"/>
        <v>49.142857142857146</v>
      </c>
      <c r="F350" s="3"/>
      <c r="G350" s="3"/>
      <c r="H350" s="3"/>
    </row>
    <row r="351" spans="1:8" ht="18.5" x14ac:dyDescent="0.45">
      <c r="A351" s="3">
        <v>345</v>
      </c>
      <c r="B351" s="9">
        <f t="shared" si="21"/>
        <v>0.99097948675309999</v>
      </c>
      <c r="C351" s="3">
        <f t="shared" si="22"/>
        <v>4401534.4883625694</v>
      </c>
      <c r="D351" s="3">
        <f t="shared" si="23"/>
        <v>274.39292358607054</v>
      </c>
      <c r="E351" s="8">
        <f t="shared" si="20"/>
        <v>49.285714285714285</v>
      </c>
      <c r="F351" s="3"/>
      <c r="G351" s="3"/>
      <c r="H351" s="3"/>
    </row>
    <row r="352" spans="1:8" ht="18.5" x14ac:dyDescent="0.45">
      <c r="A352" s="3">
        <v>346</v>
      </c>
      <c r="B352" s="9">
        <f t="shared" si="21"/>
        <v>0.99104071912758351</v>
      </c>
      <c r="C352" s="3">
        <f t="shared" si="22"/>
        <v>4401806.458077075</v>
      </c>
      <c r="D352" s="3">
        <f t="shared" si="23"/>
        <v>271.96971450559795</v>
      </c>
      <c r="E352" s="8">
        <f t="shared" si="20"/>
        <v>49.428571428571431</v>
      </c>
      <c r="F352" s="3"/>
      <c r="G352" s="3"/>
      <c r="H352" s="3"/>
    </row>
    <row r="353" spans="1:8" ht="18.5" x14ac:dyDescent="0.45">
      <c r="A353" s="3">
        <v>347</v>
      </c>
      <c r="B353" s="9">
        <f t="shared" si="21"/>
        <v>0.99110141191948486</v>
      </c>
      <c r="C353" s="3">
        <f t="shared" si="22"/>
        <v>4402076.0311815841</v>
      </c>
      <c r="D353" s="3">
        <f t="shared" si="23"/>
        <v>269.57310450915247</v>
      </c>
      <c r="E353" s="8">
        <f t="shared" si="20"/>
        <v>49.571428571428569</v>
      </c>
      <c r="F353" s="3"/>
      <c r="G353" s="3"/>
      <c r="H353" s="3"/>
    </row>
    <row r="354" spans="1:8" ht="18.5" x14ac:dyDescent="0.45">
      <c r="A354" s="3">
        <v>348</v>
      </c>
      <c r="B354" s="9">
        <f t="shared" si="21"/>
        <v>0.99116157103834734</v>
      </c>
      <c r="C354" s="3">
        <f t="shared" si="22"/>
        <v>4402343.2339239232</v>
      </c>
      <c r="D354" s="3">
        <f t="shared" si="23"/>
        <v>267.20274233911186</v>
      </c>
      <c r="E354" s="8">
        <f t="shared" si="20"/>
        <v>49.714285714285715</v>
      </c>
      <c r="F354" s="3"/>
      <c r="G354" s="3"/>
      <c r="H354" s="3"/>
    </row>
    <row r="355" spans="1:8" ht="18.5" x14ac:dyDescent="0.45">
      <c r="A355" s="3">
        <v>349</v>
      </c>
      <c r="B355" s="9">
        <f t="shared" si="21"/>
        <v>0.99122120231585586</v>
      </c>
      <c r="C355" s="3">
        <f t="shared" si="22"/>
        <v>4402608.0922061056</v>
      </c>
      <c r="D355" s="3">
        <f t="shared" si="23"/>
        <v>264.85828218236566</v>
      </c>
      <c r="E355" s="8">
        <f t="shared" si="20"/>
        <v>49.857142857142854</v>
      </c>
      <c r="F355" s="3"/>
      <c r="G355" s="3"/>
      <c r="H355" s="3"/>
    </row>
    <row r="356" spans="1:8" ht="18.5" x14ac:dyDescent="0.45">
      <c r="A356" s="3">
        <v>350</v>
      </c>
      <c r="B356" s="9">
        <f t="shared" si="21"/>
        <v>0.9912803115070411</v>
      </c>
      <c r="C356" s="3">
        <f t="shared" si="22"/>
        <v>4402870.6315896735</v>
      </c>
      <c r="D356" s="3">
        <f t="shared" si="23"/>
        <v>262.53938356786966</v>
      </c>
      <c r="E356" s="8">
        <f t="shared" si="20"/>
        <v>50</v>
      </c>
      <c r="F356" s="3"/>
      <c r="G356" s="3"/>
      <c r="H356" s="3"/>
    </row>
    <row r="357" spans="1:8" ht="18.5" x14ac:dyDescent="0.45">
      <c r="A357" s="3">
        <v>351</v>
      </c>
      <c r="B357" s="9">
        <f t="shared" si="21"/>
        <v>0.99133890429146099</v>
      </c>
      <c r="C357" s="3">
        <f t="shared" si="22"/>
        <v>4403130.8773009535</v>
      </c>
      <c r="D357" s="3">
        <f t="shared" si="23"/>
        <v>260.24571128003299</v>
      </c>
      <c r="E357" s="8">
        <f t="shared" si="20"/>
        <v>50.142857142857146</v>
      </c>
      <c r="F357" s="3"/>
      <c r="G357" s="3"/>
      <c r="H357" s="3"/>
    </row>
    <row r="358" spans="1:8" ht="18.5" x14ac:dyDescent="0.45">
      <c r="A358" s="3">
        <v>352</v>
      </c>
      <c r="B358" s="9">
        <f t="shared" si="21"/>
        <v>0.99139698627436235</v>
      </c>
      <c r="C358" s="3">
        <f t="shared" si="22"/>
        <v>4403388.8542362079</v>
      </c>
      <c r="D358" s="3">
        <f t="shared" si="23"/>
        <v>257.97693525440991</v>
      </c>
      <c r="E358" s="8">
        <f t="shared" si="20"/>
        <v>50.285714285714285</v>
      </c>
      <c r="F358" s="3"/>
      <c r="G358" s="3"/>
      <c r="H358" s="3"/>
    </row>
    <row r="359" spans="1:8" ht="18.5" x14ac:dyDescent="0.45">
      <c r="A359" s="3">
        <v>353</v>
      </c>
      <c r="B359" s="9">
        <f t="shared" si="21"/>
        <v>0.99145456298782098</v>
      </c>
      <c r="C359" s="3">
        <f t="shared" si="22"/>
        <v>4403644.5869667055</v>
      </c>
      <c r="D359" s="3">
        <f t="shared" si="23"/>
        <v>255.7327304976061</v>
      </c>
      <c r="E359" s="8">
        <f t="shared" si="20"/>
        <v>50.428571428571431</v>
      </c>
      <c r="F359" s="3"/>
      <c r="G359" s="3"/>
      <c r="H359" s="3"/>
    </row>
    <row r="360" spans="1:8" ht="18.5" x14ac:dyDescent="0.45">
      <c r="A360" s="3">
        <v>354</v>
      </c>
      <c r="B360" s="9">
        <f t="shared" si="21"/>
        <v>0.99151163989186253</v>
      </c>
      <c r="C360" s="3">
        <f t="shared" si="22"/>
        <v>4403898.0997436969</v>
      </c>
      <c r="D360" s="3">
        <f t="shared" si="23"/>
        <v>253.51277699135244</v>
      </c>
      <c r="E360" s="8">
        <f t="shared" si="20"/>
        <v>50.571428571428569</v>
      </c>
      <c r="F360" s="3"/>
      <c r="G360" s="3"/>
      <c r="H360" s="3"/>
    </row>
    <row r="361" spans="1:8" ht="18.5" x14ac:dyDescent="0.45">
      <c r="A361" s="3">
        <v>355</v>
      </c>
      <c r="B361" s="9">
        <f t="shared" si="21"/>
        <v>0.99156822237556286</v>
      </c>
      <c r="C361" s="3">
        <f t="shared" si="22"/>
        <v>4404149.4165033</v>
      </c>
      <c r="D361" s="3">
        <f t="shared" si="23"/>
        <v>251.31675960309803</v>
      </c>
      <c r="E361" s="8">
        <f t="shared" si="20"/>
        <v>50.714285714285715</v>
      </c>
      <c r="F361" s="3"/>
      <c r="G361" s="3"/>
      <c r="H361" s="3"/>
    </row>
    <row r="362" spans="1:8" ht="18.5" x14ac:dyDescent="0.45">
      <c r="A362" s="3">
        <v>356</v>
      </c>
      <c r="B362" s="9">
        <f t="shared" si="21"/>
        <v>0.9916243157581297</v>
      </c>
      <c r="C362" s="3">
        <f t="shared" si="22"/>
        <v>4404398.5608713087</v>
      </c>
      <c r="D362" s="3">
        <f t="shared" si="23"/>
        <v>249.14436800871044</v>
      </c>
      <c r="E362" s="8">
        <f t="shared" si="20"/>
        <v>50.857142857142854</v>
      </c>
      <c r="F362" s="3"/>
      <c r="G362" s="3"/>
      <c r="H362" s="3"/>
    </row>
    <row r="363" spans="1:8" ht="18.5" x14ac:dyDescent="0.45">
      <c r="A363" s="3">
        <v>357</v>
      </c>
      <c r="B363" s="9">
        <f t="shared" si="21"/>
        <v>0.99167992528996463</v>
      </c>
      <c r="C363" s="3">
        <f t="shared" si="22"/>
        <v>4404645.5561679071</v>
      </c>
      <c r="D363" s="3">
        <f t="shared" si="23"/>
        <v>246.9952965984121</v>
      </c>
      <c r="E363" s="8">
        <f t="shared" si="20"/>
        <v>51</v>
      </c>
      <c r="F363" s="3"/>
      <c r="G363" s="3"/>
      <c r="H363" s="3"/>
    </row>
    <row r="364" spans="1:8" ht="18.5" x14ac:dyDescent="0.45">
      <c r="A364" s="3">
        <v>358</v>
      </c>
      <c r="B364" s="9">
        <f t="shared" si="21"/>
        <v>0.99173505615370749</v>
      </c>
      <c r="C364" s="3">
        <f t="shared" si="22"/>
        <v>4404890.4254123075</v>
      </c>
      <c r="D364" s="3">
        <f t="shared" si="23"/>
        <v>244.86924440041184</v>
      </c>
      <c r="E364" s="8">
        <f t="shared" si="20"/>
        <v>51.142857142857146</v>
      </c>
      <c r="F364" s="3"/>
      <c r="G364" s="3"/>
      <c r="H364" s="3"/>
    </row>
    <row r="365" spans="1:8" ht="18.5" x14ac:dyDescent="0.45">
      <c r="A365" s="3">
        <v>359</v>
      </c>
      <c r="B365" s="9">
        <f t="shared" si="21"/>
        <v>0.99178971346526124</v>
      </c>
      <c r="C365" s="3">
        <f t="shared" si="22"/>
        <v>4405133.1913273046</v>
      </c>
      <c r="D365" s="3">
        <f t="shared" si="23"/>
        <v>242.76591499708593</v>
      </c>
      <c r="E365" s="8">
        <f t="shared" si="20"/>
        <v>51.285714285714285</v>
      </c>
      <c r="F365" s="3"/>
      <c r="G365" s="3"/>
      <c r="H365" s="3"/>
    </row>
    <row r="366" spans="1:8" ht="18.5" x14ac:dyDescent="0.45">
      <c r="A366" s="3">
        <v>360</v>
      </c>
      <c r="B366" s="9">
        <f t="shared" si="21"/>
        <v>0.99184390227480035</v>
      </c>
      <c r="C366" s="3">
        <f t="shared" si="22"/>
        <v>4405373.8763437532</v>
      </c>
      <c r="D366" s="3">
        <f t="shared" si="23"/>
        <v>240.68501644860953</v>
      </c>
      <c r="E366" s="8">
        <f t="shared" si="20"/>
        <v>51.428571428571431</v>
      </c>
      <c r="F366" s="3"/>
      <c r="G366" s="3"/>
      <c r="H366" s="3"/>
    </row>
    <row r="367" spans="1:8" ht="18.5" x14ac:dyDescent="0.45">
      <c r="A367" s="3">
        <v>361</v>
      </c>
      <c r="B367" s="9">
        <f t="shared" si="21"/>
        <v>0.99189762756776079</v>
      </c>
      <c r="C367" s="3">
        <f t="shared" si="22"/>
        <v>4405612.5026049661</v>
      </c>
      <c r="D367" s="3">
        <f t="shared" si="23"/>
        <v>238.62626121286303</v>
      </c>
      <c r="E367" s="8">
        <f t="shared" si="20"/>
        <v>51.571428571428569</v>
      </c>
      <c r="F367" s="3"/>
      <c r="G367" s="3"/>
      <c r="H367" s="3"/>
    </row>
    <row r="368" spans="1:8" ht="18.5" x14ac:dyDescent="0.45">
      <c r="A368" s="3">
        <v>362</v>
      </c>
      <c r="B368" s="9">
        <f t="shared" si="21"/>
        <v>0.99195089426581318</v>
      </c>
      <c r="C368" s="3">
        <f t="shared" si="22"/>
        <v>4405849.091971036</v>
      </c>
      <c r="D368" s="3">
        <f t="shared" si="23"/>
        <v>236.58936606999487</v>
      </c>
      <c r="E368" s="8">
        <f t="shared" si="20"/>
        <v>51.714285714285715</v>
      </c>
      <c r="F368" s="3"/>
      <c r="G368" s="3"/>
      <c r="H368" s="3"/>
    </row>
    <row r="369" spans="1:8" ht="18.5" x14ac:dyDescent="0.45">
      <c r="A369" s="3">
        <v>363</v>
      </c>
      <c r="B369" s="9">
        <f t="shared" si="21"/>
        <v>0.99200370722781905</v>
      </c>
      <c r="C369" s="3">
        <f t="shared" si="22"/>
        <v>4406083.6660230812</v>
      </c>
      <c r="D369" s="3">
        <f t="shared" si="23"/>
        <v>234.57405204512179</v>
      </c>
      <c r="E369" s="8">
        <f t="shared" si="20"/>
        <v>51.857142857142854</v>
      </c>
      <c r="F369" s="3"/>
      <c r="G369" s="3"/>
      <c r="H369" s="3"/>
    </row>
    <row r="370" spans="1:8" ht="18.5" x14ac:dyDescent="0.45">
      <c r="A370" s="3">
        <v>364</v>
      </c>
      <c r="B370" s="9">
        <f t="shared" si="21"/>
        <v>0.99205607125077044</v>
      </c>
      <c r="C370" s="3">
        <f t="shared" si="22"/>
        <v>4406316.2460674224</v>
      </c>
      <c r="D370" s="3">
        <f t="shared" si="23"/>
        <v>232.58004434127361</v>
      </c>
      <c r="E370" s="8">
        <f t="shared" si="20"/>
        <v>52</v>
      </c>
      <c r="F370" s="3"/>
      <c r="G370" s="3"/>
      <c r="H370" s="3"/>
    </row>
    <row r="371" spans="1:8" ht="18.5" x14ac:dyDescent="0.45">
      <c r="A371" s="3">
        <v>365</v>
      </c>
      <c r="B371" s="9">
        <f t="shared" si="21"/>
        <v>0.9921079910707139</v>
      </c>
      <c r="C371" s="3">
        <f t="shared" si="22"/>
        <v>4406546.8531396827</v>
      </c>
      <c r="D371" s="3">
        <f t="shared" si="23"/>
        <v>230.60707226023078</v>
      </c>
      <c r="E371" s="8">
        <f t="shared" si="20"/>
        <v>52.142857142857146</v>
      </c>
      <c r="F371" s="3"/>
      <c r="G371" s="3"/>
      <c r="H371" s="3"/>
    </row>
    <row r="372" spans="1:8" ht="18.5" x14ac:dyDescent="0.45">
      <c r="A372" s="3">
        <v>366</v>
      </c>
      <c r="B372" s="9">
        <f t="shared" si="21"/>
        <v>0.99215947136365801</v>
      </c>
      <c r="C372" s="3">
        <f t="shared" si="22"/>
        <v>4406775.5080088237</v>
      </c>
      <c r="D372" s="3">
        <f t="shared" si="23"/>
        <v>228.65486914105713</v>
      </c>
      <c r="E372" s="8">
        <f t="shared" si="20"/>
        <v>52.285714285714285</v>
      </c>
      <c r="F372" s="3"/>
      <c r="G372" s="3"/>
      <c r="H372" s="3"/>
    </row>
    <row r="373" spans="1:8" ht="18.5" x14ac:dyDescent="0.45">
      <c r="A373" s="3">
        <v>367</v>
      </c>
      <c r="B373" s="9">
        <f t="shared" si="21"/>
        <v>0.99221051674646554</v>
      </c>
      <c r="C373" s="3">
        <f t="shared" si="22"/>
        <v>4407002.2311811009</v>
      </c>
      <c r="D373" s="3">
        <f t="shared" si="23"/>
        <v>226.72317227721214</v>
      </c>
      <c r="E373" s="8">
        <f t="shared" si="20"/>
        <v>52.428571428571431</v>
      </c>
      <c r="F373" s="3"/>
      <c r="G373" s="3"/>
      <c r="H373" s="3"/>
    </row>
    <row r="374" spans="1:8" ht="18.5" x14ac:dyDescent="0.45">
      <c r="A374" s="3">
        <v>368</v>
      </c>
      <c r="B374" s="9">
        <f t="shared" si="21"/>
        <v>0.99226113177773045</v>
      </c>
      <c r="C374" s="3">
        <f t="shared" si="22"/>
        <v>4407227.0429039672</v>
      </c>
      <c r="D374" s="3">
        <f t="shared" si="23"/>
        <v>224.81172286625952</v>
      </c>
      <c r="E374" s="8">
        <f t="shared" si="20"/>
        <v>52.571428571428569</v>
      </c>
      <c r="F374" s="3"/>
      <c r="G374" s="3"/>
      <c r="H374" s="3"/>
    </row>
    <row r="375" spans="1:8" ht="18.5" x14ac:dyDescent="0.45">
      <c r="A375" s="3">
        <v>369</v>
      </c>
      <c r="B375" s="9">
        <f t="shared" si="21"/>
        <v>0.99231132095864016</v>
      </c>
      <c r="C375" s="3">
        <f t="shared" si="22"/>
        <v>4407449.963169896</v>
      </c>
      <c r="D375" s="3">
        <f t="shared" si="23"/>
        <v>222.92026592884213</v>
      </c>
      <c r="E375" s="8">
        <f t="shared" si="20"/>
        <v>52.714285714285715</v>
      </c>
      <c r="F375" s="3"/>
      <c r="G375" s="3"/>
      <c r="H375" s="3"/>
    </row>
    <row r="376" spans="1:8" ht="18.5" x14ac:dyDescent="0.45">
      <c r="A376" s="3">
        <v>370</v>
      </c>
      <c r="B376" s="9">
        <f t="shared" si="21"/>
        <v>0.99236108873382267</v>
      </c>
      <c r="C376" s="3">
        <f t="shared" si="22"/>
        <v>4407671.011720147</v>
      </c>
      <c r="D376" s="3">
        <f t="shared" si="23"/>
        <v>221.04855025094002</v>
      </c>
      <c r="E376" s="8">
        <f t="shared" si="20"/>
        <v>52.857142857142854</v>
      </c>
      <c r="F376" s="3"/>
      <c r="G376" s="3"/>
      <c r="H376" s="3"/>
    </row>
    <row r="377" spans="1:8" ht="18.5" x14ac:dyDescent="0.45">
      <c r="A377" s="3">
        <v>371</v>
      </c>
      <c r="B377" s="9">
        <f t="shared" si="21"/>
        <v>0.99241043949217966</v>
      </c>
      <c r="C377" s="3">
        <f t="shared" si="22"/>
        <v>4407890.2080484647</v>
      </c>
      <c r="D377" s="3">
        <f t="shared" si="23"/>
        <v>219.19632831774652</v>
      </c>
      <c r="E377" s="8">
        <f t="shared" si="20"/>
        <v>53</v>
      </c>
      <c r="F377" s="3"/>
      <c r="G377" s="3"/>
      <c r="H377" s="3"/>
    </row>
    <row r="378" spans="1:8" ht="18.5" x14ac:dyDescent="0.45">
      <c r="A378" s="3">
        <v>372</v>
      </c>
      <c r="B378" s="9">
        <f t="shared" si="21"/>
        <v>0.99245937756770497</v>
      </c>
      <c r="C378" s="3">
        <f t="shared" si="22"/>
        <v>4408107.5714047188</v>
      </c>
      <c r="D378" s="3">
        <f t="shared" si="23"/>
        <v>217.36335625406355</v>
      </c>
      <c r="E378" s="8">
        <f t="shared" si="20"/>
        <v>53.142857142857146</v>
      </c>
      <c r="F378" s="3"/>
      <c r="G378" s="3"/>
      <c r="H378" s="3"/>
    </row>
    <row r="379" spans="1:8" ht="18.5" x14ac:dyDescent="0.45">
      <c r="A379" s="3">
        <v>373</v>
      </c>
      <c r="B379" s="9">
        <f t="shared" si="21"/>
        <v>0.99250790724029048</v>
      </c>
      <c r="C379" s="3">
        <f t="shared" si="22"/>
        <v>4408323.1207984742</v>
      </c>
      <c r="D379" s="3">
        <f t="shared" si="23"/>
        <v>215.54939375538379</v>
      </c>
      <c r="E379" s="8">
        <f t="shared" si="20"/>
        <v>53.285714285714285</v>
      </c>
      <c r="F379" s="3"/>
      <c r="G379" s="3"/>
      <c r="H379" s="3"/>
    </row>
    <row r="380" spans="1:8" ht="18.5" x14ac:dyDescent="0.45">
      <c r="A380" s="3">
        <v>374</v>
      </c>
      <c r="B380" s="9">
        <f t="shared" si="21"/>
        <v>0.99255603273651671</v>
      </c>
      <c r="C380" s="3">
        <f t="shared" si="22"/>
        <v>4408536.8750025127</v>
      </c>
      <c r="D380" s="3">
        <f t="shared" si="23"/>
        <v>213.75420403853059</v>
      </c>
      <c r="E380" s="8">
        <f t="shared" si="20"/>
        <v>53.428571428571431</v>
      </c>
      <c r="F380" s="3"/>
      <c r="G380" s="3"/>
      <c r="H380" s="3"/>
    </row>
    <row r="381" spans="1:8" ht="18.5" x14ac:dyDescent="0.45">
      <c r="A381" s="3">
        <v>375</v>
      </c>
      <c r="B381" s="9">
        <f t="shared" si="21"/>
        <v>0.99260375823043145</v>
      </c>
      <c r="C381" s="3">
        <f t="shared" si="22"/>
        <v>4408748.8525562845</v>
      </c>
      <c r="D381" s="3">
        <f t="shared" si="23"/>
        <v>211.97755377180874</v>
      </c>
      <c r="E381" s="8">
        <f t="shared" si="20"/>
        <v>53.571428571428569</v>
      </c>
      <c r="F381" s="3"/>
      <c r="G381" s="3"/>
      <c r="H381" s="3"/>
    </row>
    <row r="382" spans="1:8" ht="18.5" x14ac:dyDescent="0.45">
      <c r="A382" s="3">
        <v>376</v>
      </c>
      <c r="B382" s="9">
        <f t="shared" si="21"/>
        <v>0.99265108784431499</v>
      </c>
      <c r="C382" s="3">
        <f t="shared" si="22"/>
        <v>4408959.0717693092</v>
      </c>
      <c r="D382" s="3">
        <f t="shared" si="23"/>
        <v>210.2192130247131</v>
      </c>
      <c r="E382" s="8">
        <f t="shared" si="20"/>
        <v>53.714285714285715</v>
      </c>
      <c r="F382" s="3"/>
      <c r="G382" s="3"/>
      <c r="H382" s="3"/>
    </row>
    <row r="383" spans="1:8" ht="18.5" x14ac:dyDescent="0.45">
      <c r="A383" s="3">
        <v>377</v>
      </c>
      <c r="B383" s="9">
        <f t="shared" si="21"/>
        <v>0.99269802564943199</v>
      </c>
      <c r="C383" s="3">
        <f t="shared" si="22"/>
        <v>4409167.5507245176</v>
      </c>
      <c r="D383" s="3">
        <f t="shared" si="23"/>
        <v>208.4789552083239</v>
      </c>
      <c r="E383" s="8">
        <f t="shared" si="20"/>
        <v>53.857142857142854</v>
      </c>
      <c r="F383" s="3"/>
      <c r="G383" s="3"/>
      <c r="H383" s="3"/>
    </row>
    <row r="384" spans="1:8" ht="18.5" x14ac:dyDescent="0.45">
      <c r="A384" s="3">
        <v>378</v>
      </c>
      <c r="B384" s="9">
        <f t="shared" si="21"/>
        <v>0.99274457566677166</v>
      </c>
      <c r="C384" s="3">
        <f t="shared" si="22"/>
        <v>4409374.3072815333</v>
      </c>
      <c r="D384" s="3">
        <f t="shared" si="23"/>
        <v>206.75655701570213</v>
      </c>
      <c r="E384" s="8">
        <f t="shared" si="20"/>
        <v>54</v>
      </c>
      <c r="F384" s="3"/>
      <c r="G384" s="3"/>
      <c r="H384" s="3"/>
    </row>
    <row r="385" spans="1:8" ht="18.5" x14ac:dyDescent="0.45">
      <c r="A385" s="3">
        <v>379</v>
      </c>
      <c r="B385" s="9">
        <f t="shared" si="21"/>
        <v>0.99279074186777472</v>
      </c>
      <c r="C385" s="3">
        <f t="shared" si="22"/>
        <v>4409579.3590799086</v>
      </c>
      <c r="D385" s="3">
        <f t="shared" si="23"/>
        <v>205.05179837532341</v>
      </c>
      <c r="E385" s="8">
        <f t="shared" si="20"/>
        <v>54.142857142857146</v>
      </c>
      <c r="F385" s="3"/>
      <c r="G385" s="3"/>
      <c r="H385" s="3"/>
    </row>
    <row r="386" spans="1:8" ht="18.5" x14ac:dyDescent="0.45">
      <c r="A386" s="3">
        <v>380</v>
      </c>
      <c r="B386" s="9">
        <f t="shared" si="21"/>
        <v>0.99283652817504919</v>
      </c>
      <c r="C386" s="3">
        <f t="shared" si="22"/>
        <v>4409782.7235422982</v>
      </c>
      <c r="D386" s="3">
        <f t="shared" si="23"/>
        <v>203.36446238961071</v>
      </c>
      <c r="E386" s="8">
        <f t="shared" si="20"/>
        <v>54.285714285714285</v>
      </c>
      <c r="F386" s="3"/>
      <c r="G386" s="3"/>
      <c r="H386" s="3"/>
    </row>
    <row r="387" spans="1:8" ht="18.5" x14ac:dyDescent="0.45">
      <c r="A387" s="3">
        <v>381</v>
      </c>
      <c r="B387" s="9">
        <f t="shared" si="21"/>
        <v>0.9928819384630736</v>
      </c>
      <c r="C387" s="3">
        <f t="shared" si="22"/>
        <v>4409984.4178775875</v>
      </c>
      <c r="D387" s="3">
        <f t="shared" si="23"/>
        <v>201.69433528929949</v>
      </c>
      <c r="E387" s="8">
        <f t="shared" si="20"/>
        <v>54.428571428571431</v>
      </c>
      <c r="F387" s="3"/>
      <c r="G387" s="3"/>
      <c r="H387" s="3"/>
    </row>
    <row r="388" spans="1:8" ht="18.5" x14ac:dyDescent="0.45">
      <c r="A388" s="3">
        <v>382</v>
      </c>
      <c r="B388" s="9">
        <f t="shared" si="21"/>
        <v>0.99292697655888873</v>
      </c>
      <c r="C388" s="3">
        <f t="shared" si="22"/>
        <v>4410184.4590839604</v>
      </c>
      <c r="D388" s="3">
        <f t="shared" si="23"/>
        <v>200.0412063729018</v>
      </c>
      <c r="E388" s="8">
        <f t="shared" si="20"/>
        <v>54.571428571428569</v>
      </c>
      <c r="F388" s="3"/>
      <c r="G388" s="3"/>
      <c r="H388" s="3"/>
    </row>
    <row r="389" spans="1:8" ht="18.5" x14ac:dyDescent="0.45">
      <c r="A389" s="3">
        <v>383</v>
      </c>
      <c r="B389" s="9">
        <f t="shared" si="21"/>
        <v>0.99297164624277801</v>
      </c>
      <c r="C389" s="3">
        <f t="shared" si="22"/>
        <v>4410382.8639519224</v>
      </c>
      <c r="D389" s="3">
        <f t="shared" si="23"/>
        <v>198.40486796200275</v>
      </c>
      <c r="E389" s="8">
        <f t="shared" si="20"/>
        <v>54.714285714285715</v>
      </c>
      <c r="F389" s="3"/>
      <c r="G389" s="3"/>
      <c r="H389" s="3"/>
    </row>
    <row r="390" spans="1:8" ht="18.5" x14ac:dyDescent="0.45">
      <c r="A390" s="3">
        <v>384</v>
      </c>
      <c r="B390" s="9">
        <f t="shared" si="21"/>
        <v>0.99301595124893705</v>
      </c>
      <c r="C390" s="3">
        <f t="shared" si="22"/>
        <v>4410579.649067279</v>
      </c>
      <c r="D390" s="3">
        <f t="shared" si="23"/>
        <v>196.78511535655707</v>
      </c>
      <c r="E390" s="8">
        <f t="shared" si="20"/>
        <v>54.857142857142854</v>
      </c>
      <c r="F390" s="3"/>
      <c r="G390" s="3"/>
      <c r="H390" s="3"/>
    </row>
    <row r="391" spans="1:8" ht="18.5" x14ac:dyDescent="0.45">
      <c r="A391" s="3">
        <v>385</v>
      </c>
      <c r="B391" s="9">
        <f t="shared" si="21"/>
        <v>0.99305989526613103</v>
      </c>
      <c r="C391" s="3">
        <f t="shared" si="22"/>
        <v>4410774.8308140477</v>
      </c>
      <c r="D391" s="3">
        <f t="shared" si="23"/>
        <v>195.18174676876515</v>
      </c>
      <c r="E391" s="8">
        <f t="shared" ref="E391:E454" si="24">A391/7</f>
        <v>55</v>
      </c>
      <c r="F391" s="3"/>
      <c r="G391" s="3"/>
      <c r="H391" s="3"/>
    </row>
    <row r="392" spans="1:8" ht="18.5" x14ac:dyDescent="0.45">
      <c r="A392" s="3">
        <v>386</v>
      </c>
      <c r="B392" s="9">
        <f t="shared" ref="B392:B455" si="25">LOGNORMDIST(A392,$A$3,$B$3)</f>
        <v>0.99310348193834297</v>
      </c>
      <c r="C392" s="3">
        <f t="shared" ref="C392:C455" si="26">$E$3*B392</f>
        <v>4410968.4253773438</v>
      </c>
      <c r="D392" s="3">
        <f t="shared" ref="D392:D455" si="27">C392-C391</f>
        <v>193.59456329606473</v>
      </c>
      <c r="E392" s="8">
        <f t="shared" si="24"/>
        <v>55.142857142857146</v>
      </c>
      <c r="F392" s="3"/>
      <c r="G392" s="3"/>
      <c r="H392" s="3"/>
    </row>
    <row r="393" spans="1:8" ht="18.5" x14ac:dyDescent="0.45">
      <c r="A393" s="3">
        <v>387</v>
      </c>
      <c r="B393" s="9">
        <f t="shared" si="25"/>
        <v>0.99314671486540984</v>
      </c>
      <c r="C393" s="3">
        <f t="shared" si="26"/>
        <v>4411160.4487462044</v>
      </c>
      <c r="D393" s="3">
        <f t="shared" si="27"/>
        <v>192.02336886059493</v>
      </c>
      <c r="E393" s="8">
        <f t="shared" si="24"/>
        <v>55.285714285714285</v>
      </c>
      <c r="F393" s="3"/>
      <c r="G393" s="3"/>
      <c r="H393" s="3"/>
    </row>
    <row r="394" spans="1:8" ht="18.5" x14ac:dyDescent="0.45">
      <c r="A394" s="3">
        <v>388</v>
      </c>
      <c r="B394" s="9">
        <f t="shared" si="25"/>
        <v>0.993189597603649</v>
      </c>
      <c r="C394" s="3">
        <f t="shared" si="26"/>
        <v>4411350.916716367</v>
      </c>
      <c r="D394" s="3">
        <f t="shared" si="27"/>
        <v>190.46797016263008</v>
      </c>
      <c r="E394" s="8">
        <f t="shared" si="24"/>
        <v>55.428571428571431</v>
      </c>
      <c r="F394" s="3"/>
      <c r="G394" s="3"/>
      <c r="H394" s="3"/>
    </row>
    <row r="395" spans="1:8" ht="18.5" x14ac:dyDescent="0.45">
      <c r="A395" s="3">
        <v>389</v>
      </c>
      <c r="B395" s="9">
        <f t="shared" si="25"/>
        <v>0.99323213366647467</v>
      </c>
      <c r="C395" s="3">
        <f t="shared" si="26"/>
        <v>4411539.8448930141</v>
      </c>
      <c r="D395" s="3">
        <f t="shared" si="27"/>
        <v>188.92817664705217</v>
      </c>
      <c r="E395" s="8">
        <f t="shared" si="24"/>
        <v>55.571428571428569</v>
      </c>
      <c r="F395" s="3"/>
      <c r="G395" s="3"/>
      <c r="H395" s="3"/>
    </row>
    <row r="396" spans="1:8" ht="18.5" x14ac:dyDescent="0.45">
      <c r="A396" s="3">
        <v>390</v>
      </c>
      <c r="B396" s="9">
        <f t="shared" si="25"/>
        <v>0.9932743265250038</v>
      </c>
      <c r="C396" s="3">
        <f t="shared" si="26"/>
        <v>4411727.2486934569</v>
      </c>
      <c r="D396" s="3">
        <f t="shared" si="27"/>
        <v>187.40380044281483</v>
      </c>
      <c r="E396" s="8">
        <f t="shared" si="24"/>
        <v>55.714285714285715</v>
      </c>
      <c r="F396" s="3"/>
      <c r="G396" s="3"/>
      <c r="H396" s="3"/>
    </row>
    <row r="397" spans="1:8" ht="18.5" x14ac:dyDescent="0.45">
      <c r="A397" s="3">
        <v>391</v>
      </c>
      <c r="B397" s="9">
        <f t="shared" si="25"/>
        <v>0.99331617960865237</v>
      </c>
      <c r="C397" s="3">
        <f t="shared" si="26"/>
        <v>4411913.14334979</v>
      </c>
      <c r="D397" s="3">
        <f t="shared" si="27"/>
        <v>185.89465633314103</v>
      </c>
      <c r="E397" s="8">
        <f t="shared" si="24"/>
        <v>55.857142857142854</v>
      </c>
      <c r="F397" s="3"/>
      <c r="G397" s="3"/>
      <c r="H397" s="3"/>
    </row>
    <row r="398" spans="1:8" ht="18.5" x14ac:dyDescent="0.45">
      <c r="A398" s="3">
        <v>392</v>
      </c>
      <c r="B398" s="9">
        <f t="shared" si="25"/>
        <v>0.99335769630572224</v>
      </c>
      <c r="C398" s="3">
        <f t="shared" si="26"/>
        <v>4412097.5439114962</v>
      </c>
      <c r="D398" s="3">
        <f t="shared" si="27"/>
        <v>184.40056170616299</v>
      </c>
      <c r="E398" s="8">
        <f t="shared" si="24"/>
        <v>56</v>
      </c>
      <c r="F398" s="3"/>
      <c r="G398" s="3"/>
      <c r="H398" s="3"/>
    </row>
    <row r="399" spans="1:8" ht="18.5" x14ac:dyDescent="0.45">
      <c r="A399" s="3">
        <v>393</v>
      </c>
      <c r="B399" s="9">
        <f t="shared" si="25"/>
        <v>0.99339887996397802</v>
      </c>
      <c r="C399" s="3">
        <f t="shared" si="26"/>
        <v>4412280.4652480045</v>
      </c>
      <c r="D399" s="3">
        <f t="shared" si="27"/>
        <v>182.92133650835603</v>
      </c>
      <c r="E399" s="8">
        <f t="shared" si="24"/>
        <v>56.142857142857146</v>
      </c>
      <c r="F399" s="3"/>
      <c r="G399" s="3"/>
      <c r="H399" s="3"/>
    </row>
    <row r="400" spans="1:8" ht="18.5" x14ac:dyDescent="0.45">
      <c r="A400" s="3">
        <v>394</v>
      </c>
      <c r="B400" s="9">
        <f t="shared" si="25"/>
        <v>0.99343973389121487</v>
      </c>
      <c r="C400" s="3">
        <f t="shared" si="26"/>
        <v>4412461.9220512202</v>
      </c>
      <c r="D400" s="3">
        <f t="shared" si="27"/>
        <v>181.45680321566761</v>
      </c>
      <c r="E400" s="8">
        <f t="shared" si="24"/>
        <v>56.285714285714285</v>
      </c>
      <c r="F400" s="3"/>
      <c r="G400" s="3"/>
      <c r="H400" s="3"/>
    </row>
    <row r="401" spans="1:8" ht="18.5" x14ac:dyDescent="0.45">
      <c r="A401" s="3">
        <v>395</v>
      </c>
      <c r="B401" s="9">
        <f t="shared" si="25"/>
        <v>0.99348026135581746</v>
      </c>
      <c r="C401" s="3">
        <f t="shared" si="26"/>
        <v>4412641.9288379988</v>
      </c>
      <c r="D401" s="3">
        <f t="shared" si="27"/>
        <v>180.00678677856922</v>
      </c>
      <c r="E401" s="8">
        <f t="shared" si="24"/>
        <v>56.428571428571431</v>
      </c>
      <c r="F401" s="3"/>
      <c r="G401" s="3"/>
      <c r="H401" s="3"/>
    </row>
    <row r="402" spans="1:8" ht="18.5" x14ac:dyDescent="0.45">
      <c r="A402" s="3">
        <v>396</v>
      </c>
      <c r="B402" s="9">
        <f t="shared" si="25"/>
        <v>0.99352046558731</v>
      </c>
      <c r="C402" s="3">
        <f t="shared" si="26"/>
        <v>4412820.4999525957</v>
      </c>
      <c r="D402" s="3">
        <f t="shared" si="27"/>
        <v>178.57111459691077</v>
      </c>
      <c r="E402" s="8">
        <f t="shared" si="24"/>
        <v>56.571428571428569</v>
      </c>
      <c r="F402" s="3"/>
      <c r="G402" s="3"/>
      <c r="H402" s="3"/>
    </row>
    <row r="403" spans="1:8" ht="18.5" x14ac:dyDescent="0.45">
      <c r="A403" s="3">
        <v>397</v>
      </c>
      <c r="B403" s="9">
        <f t="shared" si="25"/>
        <v>0.99356034977689611</v>
      </c>
      <c r="C403" s="3">
        <f t="shared" si="26"/>
        <v>4412997.6495690616</v>
      </c>
      <c r="D403" s="3">
        <f t="shared" si="27"/>
        <v>177.14961646590382</v>
      </c>
      <c r="E403" s="8">
        <f t="shared" si="24"/>
        <v>56.714285714285715</v>
      </c>
      <c r="F403" s="3"/>
      <c r="G403" s="3"/>
      <c r="H403" s="3"/>
    </row>
    <row r="404" spans="1:8" ht="18.5" x14ac:dyDescent="0.45">
      <c r="A404" s="3">
        <v>398</v>
      </c>
      <c r="B404" s="9">
        <f t="shared" si="25"/>
        <v>0.99359991707799222</v>
      </c>
      <c r="C404" s="3">
        <f t="shared" si="26"/>
        <v>4413173.3916936107</v>
      </c>
      <c r="D404" s="3">
        <f t="shared" si="27"/>
        <v>175.74212454911321</v>
      </c>
      <c r="E404" s="8">
        <f t="shared" si="24"/>
        <v>56.857142857142854</v>
      </c>
      <c r="F404" s="3"/>
      <c r="G404" s="3"/>
      <c r="H404" s="3"/>
    </row>
    <row r="405" spans="1:8" ht="18.5" x14ac:dyDescent="0.45">
      <c r="A405" s="3">
        <v>399</v>
      </c>
      <c r="B405" s="9">
        <f t="shared" si="25"/>
        <v>0.99363917060675089</v>
      </c>
      <c r="C405" s="3">
        <f t="shared" si="26"/>
        <v>4413347.7401669445</v>
      </c>
      <c r="D405" s="3">
        <f t="shared" si="27"/>
        <v>174.34847333375365</v>
      </c>
      <c r="E405" s="8">
        <f t="shared" si="24"/>
        <v>57</v>
      </c>
      <c r="F405" s="3"/>
      <c r="G405" s="3"/>
      <c r="H405" s="3"/>
    </row>
    <row r="406" spans="1:8" ht="18.5" x14ac:dyDescent="0.45">
      <c r="A406" s="3">
        <v>400</v>
      </c>
      <c r="B406" s="9">
        <f t="shared" si="25"/>
        <v>0.99367811344257617</v>
      </c>
      <c r="C406" s="3">
        <f t="shared" si="26"/>
        <v>4413520.7086665463</v>
      </c>
      <c r="D406" s="3">
        <f t="shared" si="27"/>
        <v>172.96849960181862</v>
      </c>
      <c r="E406" s="8">
        <f t="shared" si="24"/>
        <v>57.142857142857146</v>
      </c>
      <c r="F406" s="3"/>
      <c r="G406" s="3"/>
      <c r="H406" s="3"/>
    </row>
    <row r="407" spans="1:8" ht="18.5" x14ac:dyDescent="0.45">
      <c r="A407" s="3">
        <v>401</v>
      </c>
      <c r="B407" s="9">
        <f t="shared" si="25"/>
        <v>0.99371674862863091</v>
      </c>
      <c r="C407" s="3">
        <f t="shared" si="26"/>
        <v>4413692.310708927</v>
      </c>
      <c r="D407" s="3">
        <f t="shared" si="27"/>
        <v>171.60204238072038</v>
      </c>
      <c r="E407" s="8">
        <f t="shared" si="24"/>
        <v>57.285714285714285</v>
      </c>
      <c r="F407" s="3"/>
      <c r="G407" s="3"/>
      <c r="H407" s="3"/>
    </row>
    <row r="408" spans="1:8" ht="18.5" x14ac:dyDescent="0.45">
      <c r="A408" s="3">
        <v>402</v>
      </c>
      <c r="B408" s="9">
        <f t="shared" si="25"/>
        <v>0.9937550791723363</v>
      </c>
      <c r="C408" s="3">
        <f t="shared" si="26"/>
        <v>4413862.5596518489</v>
      </c>
      <c r="D408" s="3">
        <f t="shared" si="27"/>
        <v>170.24894292186946</v>
      </c>
      <c r="E408" s="8">
        <f t="shared" si="24"/>
        <v>57.428571428571431</v>
      </c>
      <c r="F408" s="3"/>
      <c r="G408" s="3"/>
      <c r="H408" s="3"/>
    </row>
    <row r="409" spans="1:8" ht="18.5" x14ac:dyDescent="0.45">
      <c r="A409" s="3">
        <v>403</v>
      </c>
      <c r="B409" s="9">
        <f t="shared" si="25"/>
        <v>0.99379310804586274</v>
      </c>
      <c r="C409" s="3">
        <f t="shared" si="26"/>
        <v>4414031.4686965039</v>
      </c>
      <c r="D409" s="3">
        <f t="shared" si="27"/>
        <v>168.90904465503991</v>
      </c>
      <c r="E409" s="8">
        <f t="shared" si="24"/>
        <v>57.571428571428569</v>
      </c>
      <c r="F409" s="3"/>
      <c r="G409" s="3"/>
      <c r="H409" s="3"/>
    </row>
    <row r="410" spans="1:8" ht="18.5" x14ac:dyDescent="0.45">
      <c r="A410" s="3">
        <v>404</v>
      </c>
      <c r="B410" s="9">
        <f t="shared" si="25"/>
        <v>0.99383083818661377</v>
      </c>
      <c r="C410" s="3">
        <f t="shared" si="26"/>
        <v>4414199.0508896634</v>
      </c>
      <c r="D410" s="3">
        <f t="shared" si="27"/>
        <v>167.58219315949827</v>
      </c>
      <c r="E410" s="8">
        <f t="shared" si="24"/>
        <v>57.714285714285715</v>
      </c>
      <c r="F410" s="3"/>
      <c r="G410" s="3"/>
      <c r="H410" s="3"/>
    </row>
    <row r="411" spans="1:8" ht="18.5" x14ac:dyDescent="0.45">
      <c r="A411" s="3">
        <v>405</v>
      </c>
      <c r="B411" s="9">
        <f t="shared" si="25"/>
        <v>0.99386827249770149</v>
      </c>
      <c r="C411" s="3">
        <f t="shared" si="26"/>
        <v>4414365.3191257911</v>
      </c>
      <c r="D411" s="3">
        <f t="shared" si="27"/>
        <v>166.26823612768203</v>
      </c>
      <c r="E411" s="8">
        <f t="shared" si="24"/>
        <v>57.857142857142854</v>
      </c>
      <c r="F411" s="3"/>
      <c r="G411" s="3"/>
      <c r="H411" s="3"/>
    </row>
    <row r="412" spans="1:8" ht="18.5" x14ac:dyDescent="0.45">
      <c r="A412" s="3">
        <v>406</v>
      </c>
      <c r="B412" s="9">
        <f t="shared" si="25"/>
        <v>0.99390541384841602</v>
      </c>
      <c r="C412" s="3">
        <f t="shared" si="26"/>
        <v>4414530.2861491246</v>
      </c>
      <c r="D412" s="3">
        <f t="shared" si="27"/>
        <v>164.9670233335346</v>
      </c>
      <c r="E412" s="8">
        <f t="shared" si="24"/>
        <v>58</v>
      </c>
      <c r="F412" s="3"/>
      <c r="G412" s="3"/>
      <c r="H412" s="3"/>
    </row>
    <row r="413" spans="1:8" ht="18.5" x14ac:dyDescent="0.45">
      <c r="A413" s="3">
        <v>407</v>
      </c>
      <c r="B413" s="9">
        <f t="shared" si="25"/>
        <v>0.99394226507468553</v>
      </c>
      <c r="C413" s="3">
        <f t="shared" si="26"/>
        <v>4414693.9645557236</v>
      </c>
      <c r="D413" s="3">
        <f t="shared" si="27"/>
        <v>163.67840659897774</v>
      </c>
      <c r="E413" s="8">
        <f t="shared" si="24"/>
        <v>58.142857142857146</v>
      </c>
      <c r="F413" s="3"/>
      <c r="G413" s="3"/>
      <c r="H413" s="3"/>
    </row>
    <row r="414" spans="1:8" ht="18.5" x14ac:dyDescent="0.45">
      <c r="A414" s="3">
        <v>408</v>
      </c>
      <c r="B414" s="9">
        <f t="shared" si="25"/>
        <v>0.99397882897953083</v>
      </c>
      <c r="C414" s="3">
        <f t="shared" si="26"/>
        <v>4414856.366795484</v>
      </c>
      <c r="D414" s="3">
        <f t="shared" si="27"/>
        <v>162.40223976038396</v>
      </c>
      <c r="E414" s="8">
        <f t="shared" si="24"/>
        <v>58.285714285714285</v>
      </c>
      <c r="F414" s="3"/>
      <c r="G414" s="3"/>
      <c r="H414" s="3"/>
    </row>
    <row r="415" spans="1:8" ht="18.5" x14ac:dyDescent="0.45">
      <c r="A415" s="3">
        <v>409</v>
      </c>
      <c r="B415" s="9">
        <f t="shared" si="25"/>
        <v>0.99401510833351181</v>
      </c>
      <c r="C415" s="3">
        <f t="shared" si="26"/>
        <v>4415017.5051741265</v>
      </c>
      <c r="D415" s="3">
        <f t="shared" si="27"/>
        <v>161.13837864249945</v>
      </c>
      <c r="E415" s="8">
        <f t="shared" si="24"/>
        <v>58.428571428571431</v>
      </c>
      <c r="F415" s="3"/>
      <c r="G415" s="3"/>
      <c r="H415" s="3"/>
    </row>
    <row r="416" spans="1:8" ht="18.5" x14ac:dyDescent="0.45">
      <c r="A416" s="3">
        <v>410</v>
      </c>
      <c r="B416" s="9">
        <f t="shared" si="25"/>
        <v>0.99405110587516765</v>
      </c>
      <c r="C416" s="3">
        <f t="shared" si="26"/>
        <v>4415177.3918551449</v>
      </c>
      <c r="D416" s="3">
        <f t="shared" si="27"/>
        <v>159.88668101839721</v>
      </c>
      <c r="E416" s="8">
        <f t="shared" si="24"/>
        <v>58.571428571428569</v>
      </c>
      <c r="F416" s="3"/>
      <c r="G416" s="3"/>
      <c r="H416" s="3"/>
    </row>
    <row r="417" spans="1:8" ht="18.5" x14ac:dyDescent="0.45">
      <c r="A417" s="3">
        <v>411</v>
      </c>
      <c r="B417" s="9">
        <f t="shared" si="25"/>
        <v>0.99408682431144946</v>
      </c>
      <c r="C417" s="3">
        <f t="shared" si="26"/>
        <v>4415336.0388617339</v>
      </c>
      <c r="D417" s="3">
        <f t="shared" si="27"/>
        <v>158.64700658898801</v>
      </c>
      <c r="E417" s="8">
        <f t="shared" si="24"/>
        <v>58.714285714285715</v>
      </c>
      <c r="F417" s="3"/>
      <c r="G417" s="3"/>
      <c r="H417" s="3"/>
    </row>
    <row r="418" spans="1:8" ht="18.5" x14ac:dyDescent="0.45">
      <c r="A418" s="3">
        <v>412</v>
      </c>
      <c r="B418" s="9">
        <f t="shared" si="25"/>
        <v>0.99412226631814693</v>
      </c>
      <c r="C418" s="3">
        <f t="shared" si="26"/>
        <v>4415493.4580786815</v>
      </c>
      <c r="D418" s="3">
        <f t="shared" si="27"/>
        <v>157.41921694763005</v>
      </c>
      <c r="E418" s="8">
        <f t="shared" si="24"/>
        <v>58.857142857142854</v>
      </c>
      <c r="F418" s="3"/>
      <c r="G418" s="3"/>
      <c r="H418" s="3"/>
    </row>
    <row r="419" spans="1:8" ht="18.5" x14ac:dyDescent="0.45">
      <c r="A419" s="3">
        <v>413</v>
      </c>
      <c r="B419" s="9">
        <f t="shared" si="25"/>
        <v>0.99415743454030747</v>
      </c>
      <c r="C419" s="3">
        <f t="shared" si="26"/>
        <v>4415649.66125423</v>
      </c>
      <c r="D419" s="3">
        <f t="shared" si="27"/>
        <v>156.20317554846406</v>
      </c>
      <c r="E419" s="8">
        <f t="shared" si="24"/>
        <v>59</v>
      </c>
      <c r="F419" s="3"/>
      <c r="G419" s="3"/>
      <c r="H419" s="3"/>
    </row>
    <row r="420" spans="1:8" ht="18.5" x14ac:dyDescent="0.45">
      <c r="A420" s="3">
        <v>414</v>
      </c>
      <c r="B420" s="9">
        <f t="shared" si="25"/>
        <v>0.99419233159265008</v>
      </c>
      <c r="C420" s="3">
        <f t="shared" si="26"/>
        <v>4415804.6600019149</v>
      </c>
      <c r="D420" s="3">
        <f t="shared" si="27"/>
        <v>154.99874768499285</v>
      </c>
      <c r="E420" s="8">
        <f t="shared" si="24"/>
        <v>59.142857142857146</v>
      </c>
      <c r="F420" s="3"/>
      <c r="G420" s="3"/>
      <c r="H420" s="3"/>
    </row>
    <row r="421" spans="1:8" ht="18.5" x14ac:dyDescent="0.45">
      <c r="A421" s="3">
        <v>415</v>
      </c>
      <c r="B421" s="9">
        <f t="shared" si="25"/>
        <v>0.99422696005997169</v>
      </c>
      <c r="C421" s="3">
        <f t="shared" si="26"/>
        <v>4415958.4658023706</v>
      </c>
      <c r="D421" s="3">
        <f t="shared" si="27"/>
        <v>153.80580045562238</v>
      </c>
      <c r="E421" s="8">
        <f t="shared" si="24"/>
        <v>59.285714285714285</v>
      </c>
      <c r="F421" s="3"/>
      <c r="G421" s="3"/>
      <c r="H421" s="3"/>
    </row>
    <row r="422" spans="1:8" ht="18.5" x14ac:dyDescent="0.45">
      <c r="A422" s="3">
        <v>416</v>
      </c>
      <c r="B422" s="9">
        <f t="shared" si="25"/>
        <v>0.99426132249754773</v>
      </c>
      <c r="C422" s="3">
        <f t="shared" si="26"/>
        <v>4416111.0900051082</v>
      </c>
      <c r="D422" s="3">
        <f t="shared" si="27"/>
        <v>152.62420273758471</v>
      </c>
      <c r="E422" s="8">
        <f t="shared" si="24"/>
        <v>59.428571428571431</v>
      </c>
      <c r="F422" s="3"/>
      <c r="G422" s="3"/>
      <c r="H422" s="3"/>
    </row>
    <row r="423" spans="1:8" ht="18.5" x14ac:dyDescent="0.45">
      <c r="A423" s="3">
        <v>417</v>
      </c>
      <c r="B423" s="9">
        <f t="shared" si="25"/>
        <v>0.99429542143152683</v>
      </c>
      <c r="C423" s="3">
        <f t="shared" si="26"/>
        <v>4416262.5438302699</v>
      </c>
      <c r="D423" s="3">
        <f t="shared" si="27"/>
        <v>151.45382516179234</v>
      </c>
      <c r="E423" s="8">
        <f t="shared" si="24"/>
        <v>59.571428571428569</v>
      </c>
      <c r="F423" s="3"/>
      <c r="G423" s="3"/>
      <c r="H423" s="3"/>
    </row>
    <row r="424" spans="1:8" ht="18.5" x14ac:dyDescent="0.45">
      <c r="A424" s="3">
        <v>418</v>
      </c>
      <c r="B424" s="9">
        <f t="shared" si="25"/>
        <v>0.99432925935931882</v>
      </c>
      <c r="C424" s="3">
        <f t="shared" si="26"/>
        <v>4416412.8383703502</v>
      </c>
      <c r="D424" s="3">
        <f t="shared" si="27"/>
        <v>150.29454008024186</v>
      </c>
      <c r="E424" s="8">
        <f t="shared" si="24"/>
        <v>59.714285714285715</v>
      </c>
      <c r="F424" s="3"/>
      <c r="G424" s="3"/>
      <c r="H424" s="3"/>
    </row>
    <row r="425" spans="1:8" ht="18.5" x14ac:dyDescent="0.45">
      <c r="A425" s="3">
        <v>419</v>
      </c>
      <c r="B425" s="9">
        <f t="shared" si="25"/>
        <v>0.99436283874997744</v>
      </c>
      <c r="C425" s="3">
        <f t="shared" si="26"/>
        <v>4416561.9845918994</v>
      </c>
      <c r="D425" s="3">
        <f t="shared" si="27"/>
        <v>149.14622154925019</v>
      </c>
      <c r="E425" s="8">
        <f t="shared" si="24"/>
        <v>59.857142857142854</v>
      </c>
      <c r="F425" s="3"/>
      <c r="G425" s="3"/>
      <c r="H425" s="3"/>
    </row>
    <row r="426" spans="1:8" ht="18.5" x14ac:dyDescent="0.45">
      <c r="A426" s="3">
        <v>420</v>
      </c>
      <c r="B426" s="9">
        <f t="shared" si="25"/>
        <v>0.99439616204457659</v>
      </c>
      <c r="C426" s="3">
        <f t="shared" si="26"/>
        <v>4416709.9933371916</v>
      </c>
      <c r="D426" s="3">
        <f t="shared" si="27"/>
        <v>148.00874529220164</v>
      </c>
      <c r="E426" s="8">
        <f t="shared" si="24"/>
        <v>60</v>
      </c>
      <c r="F426" s="3"/>
      <c r="G426" s="3"/>
      <c r="H426" s="3"/>
    </row>
    <row r="427" spans="1:8" ht="18.5" x14ac:dyDescent="0.45">
      <c r="A427" s="3">
        <v>421</v>
      </c>
      <c r="B427" s="9">
        <f t="shared" si="25"/>
        <v>0.99442923165658148</v>
      </c>
      <c r="C427" s="3">
        <f t="shared" si="26"/>
        <v>4416856.8753258726</v>
      </c>
      <c r="D427" s="3">
        <f t="shared" si="27"/>
        <v>146.88198868092149</v>
      </c>
      <c r="E427" s="8">
        <f t="shared" si="24"/>
        <v>60.142857142857146</v>
      </c>
      <c r="F427" s="3"/>
      <c r="G427" s="3"/>
      <c r="H427" s="3"/>
    </row>
    <row r="428" spans="1:8" ht="18.5" x14ac:dyDescent="0.45">
      <c r="A428" s="3">
        <v>422</v>
      </c>
      <c r="B428" s="9">
        <f t="shared" si="25"/>
        <v>0.99446204997221366</v>
      </c>
      <c r="C428" s="3">
        <f t="shared" si="26"/>
        <v>4417002.641156584</v>
      </c>
      <c r="D428" s="3">
        <f t="shared" si="27"/>
        <v>145.7658307114616</v>
      </c>
      <c r="E428" s="8">
        <f t="shared" si="24"/>
        <v>60.285714285714285</v>
      </c>
      <c r="F428" s="3"/>
      <c r="G428" s="3"/>
      <c r="H428" s="3"/>
    </row>
    <row r="429" spans="1:8" ht="18.5" x14ac:dyDescent="0.45">
      <c r="A429" s="3">
        <v>423</v>
      </c>
      <c r="B429" s="9">
        <f t="shared" si="25"/>
        <v>0.9944946193508104</v>
      </c>
      <c r="C429" s="3">
        <f t="shared" si="26"/>
        <v>4417147.3013085593</v>
      </c>
      <c r="D429" s="3">
        <f t="shared" si="27"/>
        <v>144.66015197522938</v>
      </c>
      <c r="E429" s="8">
        <f t="shared" si="24"/>
        <v>60.428571428571431</v>
      </c>
      <c r="F429" s="3"/>
      <c r="G429" s="3"/>
      <c r="H429" s="3"/>
    </row>
    <row r="430" spans="1:8" ht="18.5" x14ac:dyDescent="0.45">
      <c r="A430" s="3">
        <v>424</v>
      </c>
      <c r="B430" s="9">
        <f t="shared" si="25"/>
        <v>0.99452694212517956</v>
      </c>
      <c r="C430" s="3">
        <f t="shared" si="26"/>
        <v>4417290.8661431978</v>
      </c>
      <c r="D430" s="3">
        <f t="shared" si="27"/>
        <v>143.56483463849872</v>
      </c>
      <c r="E430" s="8">
        <f t="shared" si="24"/>
        <v>60.571428571428569</v>
      </c>
      <c r="F430" s="3"/>
      <c r="G430" s="3"/>
      <c r="H430" s="3"/>
    </row>
    <row r="431" spans="1:8" ht="18.5" x14ac:dyDescent="0.45">
      <c r="A431" s="3">
        <v>425</v>
      </c>
      <c r="B431" s="9">
        <f t="shared" si="25"/>
        <v>0.99455902060194767</v>
      </c>
      <c r="C431" s="3">
        <f t="shared" si="26"/>
        <v>4417433.3459056104</v>
      </c>
      <c r="D431" s="3">
        <f t="shared" si="27"/>
        <v>142.47976241260767</v>
      </c>
      <c r="E431" s="8">
        <f t="shared" si="24"/>
        <v>60.714285714285715</v>
      </c>
      <c r="F431" s="3"/>
      <c r="G431" s="3"/>
      <c r="H431" s="3"/>
    </row>
    <row r="432" spans="1:8" ht="18.5" x14ac:dyDescent="0.45">
      <c r="A432" s="3">
        <v>426</v>
      </c>
      <c r="B432" s="9">
        <f t="shared" si="25"/>
        <v>0.99459085706190398</v>
      </c>
      <c r="C432" s="3">
        <f t="shared" si="26"/>
        <v>4417574.7507261531</v>
      </c>
      <c r="D432" s="3">
        <f t="shared" si="27"/>
        <v>141.40482054278255</v>
      </c>
      <c r="E432" s="8">
        <f t="shared" si="24"/>
        <v>60.857142857142854</v>
      </c>
      <c r="F432" s="3"/>
      <c r="G432" s="3"/>
      <c r="H432" s="3"/>
    </row>
    <row r="433" spans="1:8" ht="18.5" x14ac:dyDescent="0.45">
      <c r="A433" s="3">
        <v>427</v>
      </c>
      <c r="B433" s="9">
        <f t="shared" si="25"/>
        <v>0.99462245376033864</v>
      </c>
      <c r="C433" s="3">
        <f t="shared" si="26"/>
        <v>4417715.0906219203</v>
      </c>
      <c r="D433" s="3">
        <f t="shared" si="27"/>
        <v>140.33989576715976</v>
      </c>
      <c r="E433" s="8">
        <f t="shared" si="24"/>
        <v>61</v>
      </c>
      <c r="F433" s="3"/>
      <c r="G433" s="3"/>
      <c r="H433" s="3"/>
    </row>
    <row r="434" spans="1:8" ht="18.5" x14ac:dyDescent="0.45">
      <c r="A434" s="3">
        <v>428</v>
      </c>
      <c r="B434" s="9">
        <f t="shared" si="25"/>
        <v>0.99465381292737631</v>
      </c>
      <c r="C434" s="3">
        <f t="shared" si="26"/>
        <v>4417854.3754982343</v>
      </c>
      <c r="D434" s="3">
        <f t="shared" si="27"/>
        <v>139.28487631399184</v>
      </c>
      <c r="E434" s="8">
        <f t="shared" si="24"/>
        <v>61.142857142857146</v>
      </c>
      <c r="F434" s="3"/>
      <c r="G434" s="3"/>
      <c r="H434" s="3"/>
    </row>
    <row r="435" spans="1:8" ht="18.5" x14ac:dyDescent="0.45">
      <c r="A435" s="3">
        <v>429</v>
      </c>
      <c r="B435" s="9">
        <f t="shared" si="25"/>
        <v>0.99468493676830405</v>
      </c>
      <c r="C435" s="3">
        <f t="shared" si="26"/>
        <v>4417992.6151500996</v>
      </c>
      <c r="D435" s="3">
        <f t="shared" si="27"/>
        <v>138.23965186532587</v>
      </c>
      <c r="E435" s="8">
        <f t="shared" si="24"/>
        <v>61.285714285714285</v>
      </c>
      <c r="F435" s="3"/>
      <c r="G435" s="3"/>
      <c r="H435" s="3"/>
    </row>
    <row r="436" spans="1:8" ht="18.5" x14ac:dyDescent="0.45">
      <c r="A436" s="3">
        <v>430</v>
      </c>
      <c r="B436" s="9">
        <f t="shared" si="25"/>
        <v>0.99471582746389509</v>
      </c>
      <c r="C436" s="3">
        <f t="shared" si="26"/>
        <v>4418129.8192636361</v>
      </c>
      <c r="D436" s="3">
        <f t="shared" si="27"/>
        <v>137.20411353651434</v>
      </c>
      <c r="E436" s="8">
        <f t="shared" si="24"/>
        <v>61.428571428571431</v>
      </c>
      <c r="F436" s="3"/>
      <c r="G436" s="3"/>
      <c r="H436" s="3"/>
    </row>
    <row r="437" spans="1:8" ht="18.5" x14ac:dyDescent="0.45">
      <c r="A437" s="3">
        <v>431</v>
      </c>
      <c r="B437" s="9">
        <f t="shared" si="25"/>
        <v>0.99474648717072722</v>
      </c>
      <c r="C437" s="3">
        <f t="shared" si="26"/>
        <v>4418265.9974175021</v>
      </c>
      <c r="D437" s="3">
        <f t="shared" si="27"/>
        <v>136.17815386597067</v>
      </c>
      <c r="E437" s="8">
        <f t="shared" si="24"/>
        <v>61.571428571428569</v>
      </c>
      <c r="F437" s="3"/>
      <c r="G437" s="3"/>
      <c r="H437" s="3"/>
    </row>
    <row r="438" spans="1:8" ht="18.5" x14ac:dyDescent="0.45">
      <c r="A438" s="3">
        <v>432</v>
      </c>
      <c r="B438" s="9">
        <f t="shared" si="25"/>
        <v>0.99477691802149659</v>
      </c>
      <c r="C438" s="3">
        <f t="shared" si="26"/>
        <v>4418401.1590842791</v>
      </c>
      <c r="D438" s="3">
        <f t="shared" si="27"/>
        <v>135.16166677698493</v>
      </c>
      <c r="E438" s="8">
        <f t="shared" si="24"/>
        <v>61.714285714285715</v>
      </c>
      <c r="F438" s="3"/>
      <c r="G438" s="3"/>
      <c r="H438" s="3"/>
    </row>
    <row r="439" spans="1:8" ht="18.5" x14ac:dyDescent="0.45">
      <c r="A439" s="3">
        <v>433</v>
      </c>
      <c r="B439" s="9">
        <f t="shared" si="25"/>
        <v>0.99480712212532696</v>
      </c>
      <c r="C439" s="3">
        <f t="shared" si="26"/>
        <v>4418535.3136318522</v>
      </c>
      <c r="D439" s="3">
        <f t="shared" si="27"/>
        <v>134.15454757306725</v>
      </c>
      <c r="E439" s="8">
        <f t="shared" si="24"/>
        <v>61.857142857142854</v>
      </c>
      <c r="F439" s="3"/>
      <c r="G439" s="3"/>
      <c r="H439" s="3"/>
    </row>
    <row r="440" spans="1:8" ht="18.5" x14ac:dyDescent="0.45">
      <c r="A440" s="3">
        <v>434</v>
      </c>
      <c r="B440" s="9">
        <f t="shared" si="25"/>
        <v>0.99483710156807403</v>
      </c>
      <c r="C440" s="3">
        <f t="shared" si="26"/>
        <v>4418668.4703247575</v>
      </c>
      <c r="D440" s="3">
        <f t="shared" si="27"/>
        <v>133.15669290535152</v>
      </c>
      <c r="E440" s="8">
        <f t="shared" si="24"/>
        <v>62</v>
      </c>
      <c r="F440" s="3"/>
      <c r="G440" s="3"/>
      <c r="H440" s="3"/>
    </row>
    <row r="441" spans="1:8" ht="18.5" x14ac:dyDescent="0.45">
      <c r="A441" s="3">
        <v>435</v>
      </c>
      <c r="B441" s="9">
        <f t="shared" si="25"/>
        <v>0.99486685841262612</v>
      </c>
      <c r="C441" s="3">
        <f t="shared" si="26"/>
        <v>4418800.6383255199</v>
      </c>
      <c r="D441" s="3">
        <f t="shared" si="27"/>
        <v>132.16800076235086</v>
      </c>
      <c r="E441" s="8">
        <f t="shared" si="24"/>
        <v>62.142857142857146</v>
      </c>
      <c r="F441" s="3"/>
      <c r="G441" s="3"/>
      <c r="H441" s="3"/>
    </row>
    <row r="442" spans="1:8" ht="18.5" x14ac:dyDescent="0.45">
      <c r="A442" s="3">
        <v>436</v>
      </c>
      <c r="B442" s="9">
        <f t="shared" si="25"/>
        <v>0.99489639469919877</v>
      </c>
      <c r="C442" s="3">
        <f t="shared" si="26"/>
        <v>4418931.8266959609</v>
      </c>
      <c r="D442" s="3">
        <f t="shared" si="27"/>
        <v>131.18837044108659</v>
      </c>
      <c r="E442" s="8">
        <f t="shared" si="24"/>
        <v>62.285714285714285</v>
      </c>
      <c r="F442" s="3"/>
      <c r="G442" s="3"/>
      <c r="H442" s="3"/>
    </row>
    <row r="443" spans="1:8" ht="18.5" x14ac:dyDescent="0.45">
      <c r="A443" s="3">
        <v>437</v>
      </c>
      <c r="B443" s="9">
        <f t="shared" si="25"/>
        <v>0.99492571244562689</v>
      </c>
      <c r="C443" s="3">
        <f t="shared" si="26"/>
        <v>4419062.0443984959</v>
      </c>
      <c r="D443" s="3">
        <f t="shared" si="27"/>
        <v>130.21770253498107</v>
      </c>
      <c r="E443" s="8">
        <f t="shared" si="24"/>
        <v>62.428571428571431</v>
      </c>
      <c r="F443" s="3"/>
      <c r="G443" s="3"/>
      <c r="H443" s="3"/>
    </row>
    <row r="444" spans="1:8" ht="18.5" x14ac:dyDescent="0.45">
      <c r="A444" s="3">
        <v>438</v>
      </c>
      <c r="B444" s="9">
        <f t="shared" si="25"/>
        <v>0.99495481364765126</v>
      </c>
      <c r="C444" s="3">
        <f t="shared" si="26"/>
        <v>4419191.3002974074</v>
      </c>
      <c r="D444" s="3">
        <f t="shared" si="27"/>
        <v>129.25589891150594</v>
      </c>
      <c r="E444" s="8">
        <f t="shared" si="24"/>
        <v>62.571428571428569</v>
      </c>
      <c r="F444" s="3"/>
      <c r="G444" s="3"/>
      <c r="H444" s="3"/>
    </row>
    <row r="445" spans="1:8" ht="18.5" x14ac:dyDescent="0.45">
      <c r="A445" s="3">
        <v>439</v>
      </c>
      <c r="B445" s="9">
        <f t="shared" si="25"/>
        <v>0.99498370027920124</v>
      </c>
      <c r="C445" s="3">
        <f t="shared" si="26"/>
        <v>4419319.6031601001</v>
      </c>
      <c r="D445" s="3">
        <f t="shared" si="27"/>
        <v>128.30286269262433</v>
      </c>
      <c r="E445" s="8">
        <f t="shared" si="24"/>
        <v>62.714285714285715</v>
      </c>
      <c r="F445" s="3"/>
      <c r="G445" s="3"/>
      <c r="H445" s="3"/>
    </row>
    <row r="446" spans="1:8" ht="18.5" x14ac:dyDescent="0.45">
      <c r="A446" s="3">
        <v>440</v>
      </c>
      <c r="B446" s="9">
        <f t="shared" si="25"/>
        <v>0.99501237429267375</v>
      </c>
      <c r="C446" s="3">
        <f t="shared" si="26"/>
        <v>4419446.9616583399</v>
      </c>
      <c r="D446" s="3">
        <f t="shared" si="27"/>
        <v>127.35849823988974</v>
      </c>
      <c r="E446" s="8">
        <f t="shared" si="24"/>
        <v>62.857142857142854</v>
      </c>
      <c r="F446" s="3"/>
      <c r="G446" s="3"/>
      <c r="H446" s="3"/>
    </row>
    <row r="447" spans="1:8" ht="18.5" x14ac:dyDescent="0.45">
      <c r="A447" s="3">
        <v>441</v>
      </c>
      <c r="B447" s="9">
        <f t="shared" si="25"/>
        <v>0.99504083761920725</v>
      </c>
      <c r="C447" s="3">
        <f t="shared" si="26"/>
        <v>4419573.3843694711</v>
      </c>
      <c r="D447" s="3">
        <f t="shared" si="27"/>
        <v>126.42271113116294</v>
      </c>
      <c r="E447" s="8">
        <f t="shared" si="24"/>
        <v>63</v>
      </c>
      <c r="F447" s="3"/>
      <c r="G447" s="3"/>
      <c r="H447" s="3"/>
    </row>
    <row r="448" spans="1:8" ht="18.5" x14ac:dyDescent="0.45">
      <c r="A448" s="3">
        <v>442</v>
      </c>
      <c r="B448" s="9">
        <f t="shared" si="25"/>
        <v>0.99506909216895245</v>
      </c>
      <c r="C448" s="3">
        <f t="shared" si="26"/>
        <v>4419698.8797776196</v>
      </c>
      <c r="D448" s="3">
        <f t="shared" si="27"/>
        <v>125.49540814850479</v>
      </c>
      <c r="E448" s="8">
        <f t="shared" si="24"/>
        <v>63.142857142857146</v>
      </c>
      <c r="F448" s="3"/>
      <c r="G448" s="3"/>
      <c r="H448" s="3"/>
    </row>
    <row r="449" spans="1:8" ht="18.5" x14ac:dyDescent="0.45">
      <c r="A449" s="3">
        <v>443</v>
      </c>
      <c r="B449" s="9">
        <f t="shared" si="25"/>
        <v>0.99509713983133896</v>
      </c>
      <c r="C449" s="3">
        <f t="shared" si="26"/>
        <v>4419823.4562748754</v>
      </c>
      <c r="D449" s="3">
        <f t="shared" si="27"/>
        <v>124.57649725582451</v>
      </c>
      <c r="E449" s="8">
        <f t="shared" si="24"/>
        <v>63.285714285714285</v>
      </c>
      <c r="F449" s="3"/>
      <c r="G449" s="3"/>
      <c r="H449" s="3"/>
    </row>
    <row r="450" spans="1:8" ht="18.5" x14ac:dyDescent="0.45">
      <c r="A450" s="3">
        <v>444</v>
      </c>
      <c r="B450" s="9">
        <f t="shared" si="25"/>
        <v>0.99512498247533776</v>
      </c>
      <c r="C450" s="3">
        <f t="shared" si="26"/>
        <v>4419947.1221624603</v>
      </c>
      <c r="D450" s="3">
        <f t="shared" si="27"/>
        <v>123.6658875849098</v>
      </c>
      <c r="E450" s="8">
        <f t="shared" si="24"/>
        <v>63.428571428571431</v>
      </c>
      <c r="F450" s="3"/>
      <c r="G450" s="3"/>
      <c r="H450" s="3"/>
    </row>
    <row r="451" spans="1:8" ht="18.5" x14ac:dyDescent="0.45">
      <c r="A451" s="3">
        <v>445</v>
      </c>
      <c r="B451" s="9">
        <f t="shared" si="25"/>
        <v>0.9951526219497201</v>
      </c>
      <c r="C451" s="3">
        <f t="shared" si="26"/>
        <v>4420069.8856518771</v>
      </c>
      <c r="D451" s="3">
        <f t="shared" si="27"/>
        <v>122.76348941680044</v>
      </c>
      <c r="E451" s="8">
        <f t="shared" si="24"/>
        <v>63.571428571428569</v>
      </c>
      <c r="F451" s="3"/>
      <c r="G451" s="3"/>
      <c r="H451" s="3"/>
    </row>
    <row r="452" spans="1:8" ht="18.5" x14ac:dyDescent="0.45">
      <c r="A452" s="3">
        <v>446</v>
      </c>
      <c r="B452" s="9">
        <f t="shared" si="25"/>
        <v>0.99518006008331272</v>
      </c>
      <c r="C452" s="3">
        <f t="shared" si="26"/>
        <v>4420191.7548660422</v>
      </c>
      <c r="D452" s="3">
        <f t="shared" si="27"/>
        <v>121.86921416502446</v>
      </c>
      <c r="E452" s="8">
        <f t="shared" si="24"/>
        <v>63.714285714285715</v>
      </c>
      <c r="F452" s="3"/>
      <c r="G452" s="3"/>
      <c r="H452" s="3"/>
    </row>
    <row r="453" spans="1:8" ht="18.5" x14ac:dyDescent="0.45">
      <c r="A453" s="3">
        <v>447</v>
      </c>
      <c r="B453" s="9">
        <f t="shared" si="25"/>
        <v>0.99520729868524904</v>
      </c>
      <c r="C453" s="3">
        <f t="shared" si="26"/>
        <v>4420312.7378404019</v>
      </c>
      <c r="D453" s="3">
        <f t="shared" si="27"/>
        <v>120.98297435976565</v>
      </c>
      <c r="E453" s="8">
        <f t="shared" si="24"/>
        <v>63.857142857142854</v>
      </c>
      <c r="F453" s="3"/>
      <c r="G453" s="3"/>
      <c r="H453" s="3"/>
    </row>
    <row r="454" spans="1:8" ht="18.5" x14ac:dyDescent="0.45">
      <c r="A454" s="3">
        <v>448</v>
      </c>
      <c r="B454" s="9">
        <f t="shared" si="25"/>
        <v>0.99523433954521701</v>
      </c>
      <c r="C454" s="3">
        <f t="shared" si="26"/>
        <v>4420432.8425240358</v>
      </c>
      <c r="D454" s="3">
        <f t="shared" si="27"/>
        <v>120.10468363389373</v>
      </c>
      <c r="E454" s="8">
        <f t="shared" si="24"/>
        <v>64</v>
      </c>
      <c r="F454" s="3"/>
      <c r="G454" s="3"/>
      <c r="H454" s="3"/>
    </row>
    <row r="455" spans="1:8" ht="18.5" x14ac:dyDescent="0.45">
      <c r="A455" s="3">
        <v>449</v>
      </c>
      <c r="B455" s="9">
        <f t="shared" si="25"/>
        <v>0.99526118443370326</v>
      </c>
      <c r="C455" s="3">
        <f t="shared" si="26"/>
        <v>4420552.0767807364</v>
      </c>
      <c r="D455" s="3">
        <f t="shared" si="27"/>
        <v>119.2342567006126</v>
      </c>
      <c r="E455" s="8">
        <f t="shared" ref="E455:E518" si="28">A455/7</f>
        <v>64.142857142857139</v>
      </c>
      <c r="F455" s="3"/>
      <c r="G455" s="3"/>
      <c r="H455" s="3"/>
    </row>
    <row r="456" spans="1:8" ht="18.5" x14ac:dyDescent="0.45">
      <c r="A456" s="3">
        <v>450</v>
      </c>
      <c r="B456" s="9">
        <f t="shared" ref="B456:B519" si="29">LOGNORMDIST(A456,$A$3,$B$3)</f>
        <v>0.99528783510223362</v>
      </c>
      <c r="C456" s="3">
        <f t="shared" ref="C456:C519" si="30">$E$3*B456</f>
        <v>4420670.4483900806</v>
      </c>
      <c r="D456" s="3">
        <f t="shared" ref="D456:D519" si="31">C456-C455</f>
        <v>118.37160934414715</v>
      </c>
      <c r="E456" s="8">
        <f t="shared" si="28"/>
        <v>64.285714285714292</v>
      </c>
      <c r="F456" s="3"/>
      <c r="G456" s="3"/>
      <c r="H456" s="3"/>
    </row>
    <row r="457" spans="1:8" ht="18.5" x14ac:dyDescent="0.45">
      <c r="A457" s="3">
        <v>451</v>
      </c>
      <c r="B457" s="9">
        <f t="shared" si="29"/>
        <v>0.99531429328361087</v>
      </c>
      <c r="C457" s="3">
        <f t="shared" si="30"/>
        <v>4420787.9650484864</v>
      </c>
      <c r="D457" s="3">
        <f t="shared" si="31"/>
        <v>117.51665840577334</v>
      </c>
      <c r="E457" s="8">
        <f t="shared" si="28"/>
        <v>64.428571428571431</v>
      </c>
      <c r="F457" s="3"/>
      <c r="G457" s="3"/>
      <c r="H457" s="3"/>
    </row>
    <row r="458" spans="1:8" ht="18.5" x14ac:dyDescent="0.45">
      <c r="A458" s="3">
        <v>452</v>
      </c>
      <c r="B458" s="9">
        <f t="shared" si="29"/>
        <v>0.99534056069214771</v>
      </c>
      <c r="C458" s="3">
        <f t="shared" si="30"/>
        <v>4420904.6343702432</v>
      </c>
      <c r="D458" s="3">
        <f t="shared" si="31"/>
        <v>116.66932175680995</v>
      </c>
      <c r="E458" s="8">
        <f t="shared" si="28"/>
        <v>64.571428571428569</v>
      </c>
      <c r="F458" s="3"/>
      <c r="G458" s="3"/>
      <c r="H458" s="3"/>
    </row>
    <row r="459" spans="1:8" ht="18.5" x14ac:dyDescent="0.45">
      <c r="A459" s="3">
        <v>453</v>
      </c>
      <c r="B459" s="9">
        <f t="shared" si="29"/>
        <v>0.99536663902389788</v>
      </c>
      <c r="C459" s="3">
        <f t="shared" si="30"/>
        <v>4421020.4638885446</v>
      </c>
      <c r="D459" s="3">
        <f t="shared" si="31"/>
        <v>115.82951830141246</v>
      </c>
      <c r="E459" s="8">
        <f t="shared" si="28"/>
        <v>64.714285714285708</v>
      </c>
      <c r="F459" s="3"/>
      <c r="G459" s="3"/>
      <c r="H459" s="3"/>
    </row>
    <row r="460" spans="1:8" ht="18.5" x14ac:dyDescent="0.45">
      <c r="A460" s="3">
        <v>454</v>
      </c>
      <c r="B460" s="9">
        <f t="shared" si="29"/>
        <v>0.9953925299568831</v>
      </c>
      <c r="C460" s="3">
        <f t="shared" si="30"/>
        <v>4421135.4610564923</v>
      </c>
      <c r="D460" s="3">
        <f t="shared" si="31"/>
        <v>114.99716794770211</v>
      </c>
      <c r="E460" s="8">
        <f t="shared" si="28"/>
        <v>64.857142857142861</v>
      </c>
      <c r="F460" s="3"/>
      <c r="G460" s="3"/>
      <c r="H460" s="3"/>
    </row>
    <row r="461" spans="1:8" ht="18.5" x14ac:dyDescent="0.45">
      <c r="A461" s="3">
        <v>455</v>
      </c>
      <c r="B461" s="9">
        <f t="shared" si="29"/>
        <v>0.99541823515131689</v>
      </c>
      <c r="C461" s="3">
        <f t="shared" si="30"/>
        <v>4421249.6332480889</v>
      </c>
      <c r="D461" s="3">
        <f t="shared" si="31"/>
        <v>114.17219159658998</v>
      </c>
      <c r="E461" s="8">
        <f t="shared" si="28"/>
        <v>65</v>
      </c>
      <c r="F461" s="3"/>
      <c r="G461" s="3"/>
      <c r="H461" s="3"/>
    </row>
    <row r="462" spans="1:8" ht="18.5" x14ac:dyDescent="0.45">
      <c r="A462" s="3">
        <v>456</v>
      </c>
      <c r="B462" s="9">
        <f t="shared" si="29"/>
        <v>0.99544375624982562</v>
      </c>
      <c r="C462" s="3">
        <f t="shared" si="30"/>
        <v>4421362.9877592251</v>
      </c>
      <c r="D462" s="3">
        <f t="shared" si="31"/>
        <v>113.3545111361891</v>
      </c>
      <c r="E462" s="8">
        <f t="shared" si="28"/>
        <v>65.142857142857139</v>
      </c>
      <c r="F462" s="3"/>
      <c r="G462" s="3"/>
      <c r="H462" s="3"/>
    </row>
    <row r="463" spans="1:8" ht="18.5" x14ac:dyDescent="0.45">
      <c r="A463" s="3">
        <v>457</v>
      </c>
      <c r="B463" s="9">
        <f t="shared" si="29"/>
        <v>0.99546909487766544</v>
      </c>
      <c r="C463" s="3">
        <f t="shared" si="30"/>
        <v>4421475.5318086389</v>
      </c>
      <c r="D463" s="3">
        <f t="shared" si="31"/>
        <v>112.54404941387475</v>
      </c>
      <c r="E463" s="8">
        <f t="shared" si="28"/>
        <v>65.285714285714292</v>
      </c>
      <c r="F463" s="3"/>
      <c r="G463" s="3"/>
      <c r="H463" s="3"/>
    </row>
    <row r="464" spans="1:8" ht="18.5" x14ac:dyDescent="0.45">
      <c r="A464" s="3">
        <v>458</v>
      </c>
      <c r="B464" s="9">
        <f t="shared" si="29"/>
        <v>0.99549425264293767</v>
      </c>
      <c r="C464" s="3">
        <f t="shared" si="30"/>
        <v>4421587.2725388715</v>
      </c>
      <c r="D464" s="3">
        <f t="shared" si="31"/>
        <v>111.74073023255914</v>
      </c>
      <c r="E464" s="8">
        <f t="shared" si="28"/>
        <v>65.428571428571431</v>
      </c>
      <c r="F464" s="3"/>
      <c r="G464" s="3"/>
      <c r="H464" s="3"/>
    </row>
    <row r="465" spans="1:8" ht="18.5" x14ac:dyDescent="0.45">
      <c r="A465" s="3">
        <v>459</v>
      </c>
      <c r="B465" s="9">
        <f t="shared" si="29"/>
        <v>0.99551923113679974</v>
      </c>
      <c r="C465" s="3">
        <f t="shared" si="30"/>
        <v>4421698.2170172101</v>
      </c>
      <c r="D465" s="3">
        <f t="shared" si="31"/>
        <v>110.9444783385843</v>
      </c>
      <c r="E465" s="8">
        <f t="shared" si="28"/>
        <v>65.571428571428569</v>
      </c>
      <c r="F465" s="3"/>
      <c r="G465" s="3"/>
      <c r="H465" s="3"/>
    </row>
    <row r="466" spans="1:8" ht="18.5" x14ac:dyDescent="0.45">
      <c r="A466" s="3">
        <v>460</v>
      </c>
      <c r="B466" s="9">
        <f t="shared" si="29"/>
        <v>0.99554403193367358</v>
      </c>
      <c r="C466" s="3">
        <f t="shared" si="30"/>
        <v>4421808.3722366048</v>
      </c>
      <c r="D466" s="3">
        <f t="shared" si="31"/>
        <v>110.15521939471364</v>
      </c>
      <c r="E466" s="8">
        <f t="shared" si="28"/>
        <v>65.714285714285708</v>
      </c>
      <c r="F466" s="3"/>
      <c r="G466" s="3"/>
      <c r="H466" s="3"/>
    </row>
    <row r="467" spans="1:8" ht="18.5" x14ac:dyDescent="0.45">
      <c r="A467" s="3">
        <v>461</v>
      </c>
      <c r="B467" s="9">
        <f t="shared" si="29"/>
        <v>0.99556865659145144</v>
      </c>
      <c r="C467" s="3">
        <f t="shared" si="30"/>
        <v>4421917.7451165905</v>
      </c>
      <c r="D467" s="3">
        <f t="shared" si="31"/>
        <v>109.37287998571992</v>
      </c>
      <c r="E467" s="8">
        <f t="shared" si="28"/>
        <v>65.857142857142861</v>
      </c>
      <c r="F467" s="3"/>
      <c r="G467" s="3"/>
      <c r="H467" s="3"/>
    </row>
    <row r="468" spans="1:8" ht="18.5" x14ac:dyDescent="0.45">
      <c r="A468" s="3">
        <v>462</v>
      </c>
      <c r="B468" s="9">
        <f t="shared" si="29"/>
        <v>0.99559310665169864</v>
      </c>
      <c r="C468" s="3">
        <f t="shared" si="30"/>
        <v>4422026.3425041847</v>
      </c>
      <c r="D468" s="3">
        <f t="shared" si="31"/>
        <v>108.59738759417087</v>
      </c>
      <c r="E468" s="8">
        <f t="shared" si="28"/>
        <v>66</v>
      </c>
      <c r="F468" s="3"/>
      <c r="G468" s="3"/>
      <c r="H468" s="3"/>
    </row>
    <row r="469" spans="1:8" ht="18.5" x14ac:dyDescent="0.45">
      <c r="A469" s="3">
        <v>463</v>
      </c>
      <c r="B469" s="9">
        <f t="shared" si="29"/>
        <v>0.99561738363985297</v>
      </c>
      <c r="C469" s="3">
        <f t="shared" si="30"/>
        <v>4422134.1711747712</v>
      </c>
      <c r="D469" s="3">
        <f t="shared" si="31"/>
        <v>107.82867058645934</v>
      </c>
      <c r="E469" s="8">
        <f t="shared" si="28"/>
        <v>66.142857142857139</v>
      </c>
      <c r="F469" s="3"/>
      <c r="G469" s="3"/>
      <c r="H469" s="3"/>
    </row>
    <row r="470" spans="1:8" ht="18.5" x14ac:dyDescent="0.45">
      <c r="A470" s="3">
        <v>464</v>
      </c>
      <c r="B470" s="9">
        <f t="shared" si="29"/>
        <v>0.99564148906542194</v>
      </c>
      <c r="C470" s="3">
        <f t="shared" si="30"/>
        <v>4422241.2378329784</v>
      </c>
      <c r="D470" s="3">
        <f t="shared" si="31"/>
        <v>107.06665820721537</v>
      </c>
      <c r="E470" s="8">
        <f t="shared" si="28"/>
        <v>66.285714285714292</v>
      </c>
      <c r="F470" s="3"/>
      <c r="G470" s="3"/>
      <c r="H470" s="3"/>
    </row>
    <row r="471" spans="1:8" ht="18.5" x14ac:dyDescent="0.45">
      <c r="A471" s="3">
        <v>465</v>
      </c>
      <c r="B471" s="9">
        <f t="shared" si="29"/>
        <v>0.99566542442217698</v>
      </c>
      <c r="C471" s="3">
        <f t="shared" si="30"/>
        <v>4422347.5491135409</v>
      </c>
      <c r="D471" s="3">
        <f t="shared" si="31"/>
        <v>106.31128056254238</v>
      </c>
      <c r="E471" s="8">
        <f t="shared" si="28"/>
        <v>66.428571428571431</v>
      </c>
      <c r="F471" s="3"/>
      <c r="G471" s="3"/>
      <c r="H471" s="3"/>
    </row>
    <row r="472" spans="1:8" ht="18.5" x14ac:dyDescent="0.45">
      <c r="A472" s="3">
        <v>466</v>
      </c>
      <c r="B472" s="9">
        <f t="shared" si="29"/>
        <v>0.99568919118834509</v>
      </c>
      <c r="C472" s="3">
        <f t="shared" si="30"/>
        <v>4422453.1115821535</v>
      </c>
      <c r="D472" s="3">
        <f t="shared" si="31"/>
        <v>105.56246861256659</v>
      </c>
      <c r="E472" s="8">
        <f t="shared" si="28"/>
        <v>66.571428571428569</v>
      </c>
      <c r="F472" s="3"/>
      <c r="G472" s="3"/>
      <c r="H472" s="3"/>
    </row>
    <row r="473" spans="1:8" ht="18.5" x14ac:dyDescent="0.45">
      <c r="A473" s="3">
        <v>467</v>
      </c>
      <c r="B473" s="9">
        <f t="shared" si="29"/>
        <v>0.99571279082679742</v>
      </c>
      <c r="C473" s="3">
        <f t="shared" si="30"/>
        <v>4422557.9317363035</v>
      </c>
      <c r="D473" s="3">
        <f t="shared" si="31"/>
        <v>104.82015415001661</v>
      </c>
      <c r="E473" s="8">
        <f t="shared" si="28"/>
        <v>66.714285714285708</v>
      </c>
      <c r="F473" s="3"/>
      <c r="G473" s="3"/>
      <c r="H473" s="3"/>
    </row>
    <row r="474" spans="1:8" ht="18.5" x14ac:dyDescent="0.45">
      <c r="A474" s="3">
        <v>468</v>
      </c>
      <c r="B474" s="9">
        <f t="shared" si="29"/>
        <v>0.99573622478523571</v>
      </c>
      <c r="C474" s="3">
        <f t="shared" si="30"/>
        <v>4422662.0160061028</v>
      </c>
      <c r="D474" s="3">
        <f t="shared" si="31"/>
        <v>104.08426979929209</v>
      </c>
      <c r="E474" s="8">
        <f t="shared" si="28"/>
        <v>66.857142857142861</v>
      </c>
      <c r="F474" s="3"/>
      <c r="G474" s="3"/>
      <c r="H474" s="3"/>
    </row>
    <row r="475" spans="1:8" ht="18.5" x14ac:dyDescent="0.45">
      <c r="A475" s="3">
        <v>469</v>
      </c>
      <c r="B475" s="9">
        <f t="shared" si="29"/>
        <v>0.99575949449637602</v>
      </c>
      <c r="C475" s="3">
        <f t="shared" si="30"/>
        <v>4422765.3707551034</v>
      </c>
      <c r="D475" s="3">
        <f t="shared" si="31"/>
        <v>103.35474900063127</v>
      </c>
      <c r="E475" s="8">
        <f t="shared" si="28"/>
        <v>67</v>
      </c>
      <c r="F475" s="3"/>
      <c r="G475" s="3"/>
      <c r="H475" s="3"/>
    </row>
    <row r="476" spans="1:8" ht="18.5" x14ac:dyDescent="0.45">
      <c r="A476" s="3">
        <v>470</v>
      </c>
      <c r="B476" s="9">
        <f t="shared" si="29"/>
        <v>0.99578260137812924</v>
      </c>
      <c r="C476" s="3">
        <f t="shared" si="30"/>
        <v>4422868.0022810986</v>
      </c>
      <c r="D476" s="3">
        <f t="shared" si="31"/>
        <v>102.63152599520981</v>
      </c>
      <c r="E476" s="8">
        <f t="shared" si="28"/>
        <v>67.142857142857139</v>
      </c>
      <c r="F476" s="3"/>
      <c r="G476" s="3"/>
      <c r="H476" s="3"/>
    </row>
    <row r="477" spans="1:8" ht="18.5" x14ac:dyDescent="0.45">
      <c r="A477" s="3">
        <v>471</v>
      </c>
      <c r="B477" s="9">
        <f t="shared" si="29"/>
        <v>0.99580554683378053</v>
      </c>
      <c r="C477" s="3">
        <f t="shared" si="30"/>
        <v>4422969.91681692</v>
      </c>
      <c r="D477" s="3">
        <f t="shared" si="31"/>
        <v>101.91453582141548</v>
      </c>
      <c r="E477" s="8">
        <f t="shared" si="28"/>
        <v>67.285714285714292</v>
      </c>
      <c r="F477" s="3"/>
      <c r="G477" s="3"/>
      <c r="H477" s="3"/>
    </row>
    <row r="478" spans="1:8" ht="18.5" x14ac:dyDescent="0.45">
      <c r="A478" s="3">
        <v>472</v>
      </c>
      <c r="B478" s="9">
        <f t="shared" si="29"/>
        <v>0.99582833225216483</v>
      </c>
      <c r="C478" s="3">
        <f t="shared" si="30"/>
        <v>4423071.1205312153</v>
      </c>
      <c r="D478" s="3">
        <f t="shared" si="31"/>
        <v>101.20371429529041</v>
      </c>
      <c r="E478" s="8">
        <f t="shared" si="28"/>
        <v>67.428571428571431</v>
      </c>
      <c r="F478" s="3"/>
      <c r="G478" s="3"/>
      <c r="H478" s="3"/>
    </row>
    <row r="479" spans="1:8" ht="18.5" x14ac:dyDescent="0.45">
      <c r="A479" s="3">
        <v>473</v>
      </c>
      <c r="B479" s="9">
        <f t="shared" si="29"/>
        <v>0.99585095900784071</v>
      </c>
      <c r="C479" s="3">
        <f t="shared" si="30"/>
        <v>4423171.6195292249</v>
      </c>
      <c r="D479" s="3">
        <f t="shared" si="31"/>
        <v>100.49899800959975</v>
      </c>
      <c r="E479" s="8">
        <f t="shared" si="28"/>
        <v>67.571428571428569</v>
      </c>
      <c r="F479" s="3"/>
      <c r="G479" s="3"/>
      <c r="H479" s="3"/>
    </row>
    <row r="480" spans="1:8" ht="18.5" x14ac:dyDescent="0.45">
      <c r="A480" s="3">
        <v>474</v>
      </c>
      <c r="B480" s="9">
        <f t="shared" si="29"/>
        <v>0.9958734284612617</v>
      </c>
      <c r="C480" s="3">
        <f t="shared" si="30"/>
        <v>4423271.4198535401</v>
      </c>
      <c r="D480" s="3">
        <f t="shared" si="31"/>
        <v>99.800324315205216</v>
      </c>
      <c r="E480" s="8">
        <f t="shared" si="28"/>
        <v>67.714285714285708</v>
      </c>
      <c r="F480" s="3"/>
      <c r="G480" s="3"/>
      <c r="H480" s="3"/>
    </row>
    <row r="481" spans="1:8" ht="18.5" x14ac:dyDescent="0.45">
      <c r="A481" s="3">
        <v>475</v>
      </c>
      <c r="B481" s="9">
        <f t="shared" si="29"/>
        <v>0.99589574195894504</v>
      </c>
      <c r="C481" s="3">
        <f t="shared" si="30"/>
        <v>4423370.52748485</v>
      </c>
      <c r="D481" s="3">
        <f t="shared" si="31"/>
        <v>99.107631309889257</v>
      </c>
      <c r="E481" s="8">
        <f t="shared" si="28"/>
        <v>67.857142857142861</v>
      </c>
      <c r="F481" s="3"/>
      <c r="G481" s="3"/>
      <c r="H481" s="3"/>
    </row>
    <row r="482" spans="1:8" ht="18.5" x14ac:dyDescent="0.45">
      <c r="A482" s="3">
        <v>476</v>
      </c>
      <c r="B482" s="9">
        <f t="shared" si="29"/>
        <v>0.99591790083363851</v>
      </c>
      <c r="C482" s="3">
        <f t="shared" si="30"/>
        <v>4423468.9483426884</v>
      </c>
      <c r="D482" s="3">
        <f t="shared" si="31"/>
        <v>98.420857838355005</v>
      </c>
      <c r="E482" s="8">
        <f t="shared" si="28"/>
        <v>68</v>
      </c>
      <c r="F482" s="3"/>
      <c r="G482" s="3"/>
      <c r="H482" s="3"/>
    </row>
    <row r="483" spans="1:8" ht="18.5" x14ac:dyDescent="0.45">
      <c r="A483" s="3">
        <v>477</v>
      </c>
      <c r="B483" s="9">
        <f t="shared" si="29"/>
        <v>0.99593990640448482</v>
      </c>
      <c r="C483" s="3">
        <f t="shared" si="30"/>
        <v>4423566.6882861601</v>
      </c>
      <c r="D483" s="3">
        <f t="shared" si="31"/>
        <v>97.739943471737206</v>
      </c>
      <c r="E483" s="8">
        <f t="shared" si="28"/>
        <v>68.142857142857139</v>
      </c>
      <c r="F483" s="3"/>
      <c r="G483" s="3"/>
      <c r="H483" s="3"/>
    </row>
    <row r="484" spans="1:8" ht="18.5" x14ac:dyDescent="0.45">
      <c r="A484" s="3">
        <v>478</v>
      </c>
      <c r="B484" s="9">
        <f t="shared" si="29"/>
        <v>0.9959617599771835</v>
      </c>
      <c r="C484" s="3">
        <f t="shared" si="30"/>
        <v>4423663.7531146584</v>
      </c>
      <c r="D484" s="3">
        <f t="shared" si="31"/>
        <v>97.064828498288989</v>
      </c>
      <c r="E484" s="8">
        <f t="shared" si="28"/>
        <v>68.285714285714292</v>
      </c>
      <c r="F484" s="3"/>
      <c r="G484" s="3"/>
      <c r="H484" s="3"/>
    </row>
    <row r="485" spans="1:8" ht="18.5" x14ac:dyDescent="0.45">
      <c r="A485" s="3">
        <v>479</v>
      </c>
      <c r="B485" s="9">
        <f t="shared" si="29"/>
        <v>0.99598346284415074</v>
      </c>
      <c r="C485" s="3">
        <f t="shared" si="30"/>
        <v>4423760.1485685799</v>
      </c>
      <c r="D485" s="3">
        <f t="shared" si="31"/>
        <v>96.39545392151922</v>
      </c>
      <c r="E485" s="8">
        <f t="shared" si="28"/>
        <v>68.428571428571431</v>
      </c>
      <c r="F485" s="3"/>
      <c r="G485" s="3"/>
      <c r="H485" s="3"/>
    </row>
    <row r="486" spans="1:8" ht="18.5" x14ac:dyDescent="0.45">
      <c r="A486" s="3">
        <v>480</v>
      </c>
      <c r="B486" s="9">
        <f t="shared" si="29"/>
        <v>0.99600501628467719</v>
      </c>
      <c r="C486" s="3">
        <f t="shared" si="30"/>
        <v>4423855.8803300224</v>
      </c>
      <c r="D486" s="3">
        <f t="shared" si="31"/>
        <v>95.731761442497373</v>
      </c>
      <c r="E486" s="8">
        <f t="shared" si="28"/>
        <v>68.571428571428569</v>
      </c>
      <c r="F486" s="3"/>
      <c r="G486" s="3"/>
      <c r="H486" s="3"/>
    </row>
    <row r="487" spans="1:8" ht="18.5" x14ac:dyDescent="0.45">
      <c r="A487" s="3">
        <v>481</v>
      </c>
      <c r="B487" s="9">
        <f t="shared" si="29"/>
        <v>0.9960264215650837</v>
      </c>
      <c r="C487" s="3">
        <f t="shared" si="30"/>
        <v>4423950.9540234758</v>
      </c>
      <c r="D487" s="3">
        <f t="shared" si="31"/>
        <v>95.073693453334272</v>
      </c>
      <c r="E487" s="8">
        <f t="shared" si="28"/>
        <v>68.714285714285708</v>
      </c>
      <c r="F487" s="3"/>
      <c r="G487" s="3"/>
      <c r="H487" s="3"/>
    </row>
    <row r="488" spans="1:8" ht="18.5" x14ac:dyDescent="0.45">
      <c r="A488" s="3">
        <v>482</v>
      </c>
      <c r="B488" s="9">
        <f t="shared" si="29"/>
        <v>0.99604767993887444</v>
      </c>
      <c r="C488" s="3">
        <f t="shared" si="30"/>
        <v>4424045.3752165046</v>
      </c>
      <c r="D488" s="3">
        <f t="shared" si="31"/>
        <v>94.421193028800189</v>
      </c>
      <c r="E488" s="8">
        <f t="shared" si="28"/>
        <v>68.857142857142861</v>
      </c>
      <c r="F488" s="3"/>
      <c r="G488" s="3"/>
      <c r="H488" s="3"/>
    </row>
    <row r="489" spans="1:8" ht="18.5" x14ac:dyDescent="0.45">
      <c r="A489" s="3">
        <v>483</v>
      </c>
      <c r="B489" s="9">
        <f t="shared" si="29"/>
        <v>0.99606879264688841</v>
      </c>
      <c r="C489" s="3">
        <f t="shared" si="30"/>
        <v>4424139.1494204197</v>
      </c>
      <c r="D489" s="3">
        <f t="shared" si="31"/>
        <v>93.774203915148973</v>
      </c>
      <c r="E489" s="8">
        <f t="shared" si="28"/>
        <v>69</v>
      </c>
      <c r="F489" s="3"/>
      <c r="G489" s="3"/>
      <c r="H489" s="3"/>
    </row>
    <row r="490" spans="1:8" ht="18.5" x14ac:dyDescent="0.45">
      <c r="A490" s="3">
        <v>484</v>
      </c>
      <c r="B490" s="9">
        <f t="shared" si="29"/>
        <v>0.99608976091744872</v>
      </c>
      <c r="C490" s="3">
        <f t="shared" si="30"/>
        <v>4424232.2820909405</v>
      </c>
      <c r="D490" s="3">
        <f t="shared" si="31"/>
        <v>93.132670520804822</v>
      </c>
      <c r="E490" s="8">
        <f t="shared" si="28"/>
        <v>69.142857142857139</v>
      </c>
      <c r="F490" s="3"/>
      <c r="G490" s="3"/>
      <c r="H490" s="3"/>
    </row>
    <row r="491" spans="1:8" ht="18.5" x14ac:dyDescent="0.45">
      <c r="A491" s="3">
        <v>485</v>
      </c>
      <c r="B491" s="9">
        <f t="shared" si="29"/>
        <v>0.9961105859665097</v>
      </c>
      <c r="C491" s="3">
        <f t="shared" si="30"/>
        <v>4424324.7786288494</v>
      </c>
      <c r="D491" s="3">
        <f t="shared" si="31"/>
        <v>92.496537908911705</v>
      </c>
      <c r="E491" s="8">
        <f t="shared" si="28"/>
        <v>69.285714285714292</v>
      </c>
      <c r="F491" s="3"/>
      <c r="G491" s="3"/>
      <c r="H491" s="3"/>
    </row>
    <row r="492" spans="1:8" ht="18.5" x14ac:dyDescent="0.45">
      <c r="A492" s="3">
        <v>486</v>
      </c>
      <c r="B492" s="9">
        <f t="shared" si="29"/>
        <v>0.9961312689978028</v>
      </c>
      <c r="C492" s="3">
        <f t="shared" si="30"/>
        <v>4424416.6443806412</v>
      </c>
      <c r="D492" s="3">
        <f t="shared" si="31"/>
        <v>91.865751791745424</v>
      </c>
      <c r="E492" s="8">
        <f t="shared" si="28"/>
        <v>69.428571428571431</v>
      </c>
      <c r="F492" s="3"/>
      <c r="G492" s="3"/>
      <c r="H492" s="3"/>
    </row>
    <row r="493" spans="1:8" ht="18.5" x14ac:dyDescent="0.45">
      <c r="A493" s="3">
        <v>487</v>
      </c>
      <c r="B493" s="9">
        <f t="shared" si="29"/>
        <v>0.99615181120297935</v>
      </c>
      <c r="C493" s="3">
        <f t="shared" si="30"/>
        <v>4424507.8846391533</v>
      </c>
      <c r="D493" s="3">
        <f t="shared" si="31"/>
        <v>91.240258512087166</v>
      </c>
      <c r="E493" s="8">
        <f t="shared" si="28"/>
        <v>69.571428571428569</v>
      </c>
      <c r="F493" s="3"/>
      <c r="G493" s="3"/>
      <c r="H493" s="3"/>
    </row>
    <row r="494" spans="1:8" ht="18.5" x14ac:dyDescent="0.45">
      <c r="A494" s="3">
        <v>488</v>
      </c>
      <c r="B494" s="9">
        <f t="shared" si="29"/>
        <v>0.99617221376175202</v>
      </c>
      <c r="C494" s="3">
        <f t="shared" si="30"/>
        <v>4424598.5046441974</v>
      </c>
      <c r="D494" s="3">
        <f t="shared" si="31"/>
        <v>90.620005044154823</v>
      </c>
      <c r="E494" s="8">
        <f t="shared" si="28"/>
        <v>69.714285714285708</v>
      </c>
      <c r="F494" s="3"/>
      <c r="G494" s="3"/>
      <c r="H494" s="3"/>
    </row>
    <row r="495" spans="1:8" ht="18.5" x14ac:dyDescent="0.45">
      <c r="A495" s="3">
        <v>489</v>
      </c>
      <c r="B495" s="9">
        <f t="shared" si="29"/>
        <v>0.99619247784203468</v>
      </c>
      <c r="C495" s="3">
        <f t="shared" si="30"/>
        <v>4424688.5095831817</v>
      </c>
      <c r="D495" s="3">
        <f t="shared" si="31"/>
        <v>90.004938984289765</v>
      </c>
      <c r="E495" s="8">
        <f t="shared" si="28"/>
        <v>69.857142857142861</v>
      </c>
      <c r="F495" s="3"/>
      <c r="G495" s="3"/>
      <c r="H495" s="3"/>
    </row>
    <row r="496" spans="1:8" ht="18.5" x14ac:dyDescent="0.45">
      <c r="A496" s="3">
        <v>490</v>
      </c>
      <c r="B496" s="9">
        <f t="shared" si="29"/>
        <v>0.99621260460007999</v>
      </c>
      <c r="C496" s="3">
        <f t="shared" si="30"/>
        <v>4424777.904591715</v>
      </c>
      <c r="D496" s="3">
        <f t="shared" si="31"/>
        <v>89.395008533261716</v>
      </c>
      <c r="E496" s="8">
        <f t="shared" si="28"/>
        <v>70</v>
      </c>
      <c r="F496" s="3"/>
      <c r="G496" s="3"/>
      <c r="H496" s="3"/>
    </row>
    <row r="497" spans="1:8" ht="18.5" x14ac:dyDescent="0.45">
      <c r="A497" s="3">
        <v>491</v>
      </c>
      <c r="B497" s="9">
        <f t="shared" si="29"/>
        <v>0.9962325951806148</v>
      </c>
      <c r="C497" s="3">
        <f t="shared" si="30"/>
        <v>4424866.6947542187</v>
      </c>
      <c r="D497" s="3">
        <f t="shared" si="31"/>
        <v>88.79016250371933</v>
      </c>
      <c r="E497" s="8">
        <f t="shared" si="28"/>
        <v>70.142857142857139</v>
      </c>
      <c r="F497" s="3"/>
      <c r="G497" s="3"/>
      <c r="H497" s="3"/>
    </row>
    <row r="498" spans="1:8" ht="18.5" x14ac:dyDescent="0.45">
      <c r="A498" s="3">
        <v>492</v>
      </c>
      <c r="B498" s="9">
        <f t="shared" si="29"/>
        <v>0.99625245071697499</v>
      </c>
      <c r="C498" s="3">
        <f t="shared" si="30"/>
        <v>4424954.8851045165</v>
      </c>
      <c r="D498" s="3">
        <f t="shared" si="31"/>
        <v>88.190350297838449</v>
      </c>
      <c r="E498" s="8">
        <f t="shared" si="28"/>
        <v>70.285714285714292</v>
      </c>
      <c r="F498" s="3"/>
      <c r="G498" s="3"/>
      <c r="H498" s="3"/>
    </row>
    <row r="499" spans="1:8" ht="18.5" x14ac:dyDescent="0.45">
      <c r="A499" s="3">
        <v>493</v>
      </c>
      <c r="B499" s="9">
        <f t="shared" si="29"/>
        <v>0.99627217233123666</v>
      </c>
      <c r="C499" s="3">
        <f t="shared" si="30"/>
        <v>4425042.480626421</v>
      </c>
      <c r="D499" s="3">
        <f t="shared" si="31"/>
        <v>87.595521904528141</v>
      </c>
      <c r="E499" s="8">
        <f t="shared" si="28"/>
        <v>70.428571428571431</v>
      </c>
      <c r="F499" s="3"/>
      <c r="G499" s="3"/>
      <c r="H499" s="3"/>
    </row>
    <row r="500" spans="1:8" ht="18.5" x14ac:dyDescent="0.45">
      <c r="A500" s="3">
        <v>494</v>
      </c>
      <c r="B500" s="9">
        <f t="shared" si="29"/>
        <v>0.99629176113434759</v>
      </c>
      <c r="C500" s="3">
        <f t="shared" si="30"/>
        <v>4425129.4862543186</v>
      </c>
      <c r="D500" s="3">
        <f t="shared" si="31"/>
        <v>87.005627897568047</v>
      </c>
      <c r="E500" s="8">
        <f t="shared" si="28"/>
        <v>70.571428571428569</v>
      </c>
      <c r="F500" s="3"/>
      <c r="G500" s="3"/>
      <c r="H500" s="3"/>
    </row>
    <row r="501" spans="1:8" ht="18.5" x14ac:dyDescent="0.45">
      <c r="A501" s="3">
        <v>495</v>
      </c>
      <c r="B501" s="9">
        <f t="shared" si="29"/>
        <v>0.99631121822625512</v>
      </c>
      <c r="C501" s="3">
        <f t="shared" si="30"/>
        <v>4425215.9068737347</v>
      </c>
      <c r="D501" s="3">
        <f t="shared" si="31"/>
        <v>86.420619416050613</v>
      </c>
      <c r="E501" s="8">
        <f t="shared" si="28"/>
        <v>70.714285714285708</v>
      </c>
      <c r="F501" s="3"/>
      <c r="G501" s="3"/>
      <c r="H501" s="3"/>
    </row>
    <row r="502" spans="1:8" ht="18.5" x14ac:dyDescent="0.45">
      <c r="A502" s="3">
        <v>496</v>
      </c>
      <c r="B502" s="9">
        <f t="shared" si="29"/>
        <v>0.99633054469603399</v>
      </c>
      <c r="C502" s="3">
        <f t="shared" si="30"/>
        <v>4425301.7473219046</v>
      </c>
      <c r="D502" s="3">
        <f t="shared" si="31"/>
        <v>85.840448169969022</v>
      </c>
      <c r="E502" s="8">
        <f t="shared" si="28"/>
        <v>70.857142857142861</v>
      </c>
      <c r="F502" s="3"/>
      <c r="G502" s="3"/>
      <c r="H502" s="3"/>
    </row>
    <row r="503" spans="1:8" ht="18.5" x14ac:dyDescent="0.45">
      <c r="A503" s="3">
        <v>497</v>
      </c>
      <c r="B503" s="9">
        <f t="shared" si="29"/>
        <v>0.99634974162201095</v>
      </c>
      <c r="C503" s="3">
        <f t="shared" si="30"/>
        <v>4425387.0123883234</v>
      </c>
      <c r="D503" s="3">
        <f t="shared" si="31"/>
        <v>85.265066418796778</v>
      </c>
      <c r="E503" s="8">
        <f t="shared" si="28"/>
        <v>71</v>
      </c>
      <c r="F503" s="3"/>
      <c r="G503" s="3"/>
      <c r="H503" s="3"/>
    </row>
    <row r="504" spans="1:8" ht="18.5" x14ac:dyDescent="0.45">
      <c r="A504" s="3">
        <v>498</v>
      </c>
      <c r="B504" s="9">
        <f t="shared" si="29"/>
        <v>0.99636881007188882</v>
      </c>
      <c r="C504" s="3">
        <f t="shared" si="30"/>
        <v>4425471.7068153014</v>
      </c>
      <c r="D504" s="3">
        <f t="shared" si="31"/>
        <v>84.694426978006959</v>
      </c>
      <c r="E504" s="8">
        <f t="shared" si="28"/>
        <v>71.142857142857139</v>
      </c>
      <c r="F504" s="3"/>
      <c r="G504" s="3"/>
      <c r="H504" s="3"/>
    </row>
    <row r="505" spans="1:8" ht="18.5" x14ac:dyDescent="0.45">
      <c r="A505" s="3">
        <v>499</v>
      </c>
      <c r="B505" s="9">
        <f t="shared" si="29"/>
        <v>0.99638775110286881</v>
      </c>
      <c r="C505" s="3">
        <f t="shared" si="30"/>
        <v>4425555.8352985019</v>
      </c>
      <c r="D505" s="3">
        <f t="shared" si="31"/>
        <v>84.128483200445771</v>
      </c>
      <c r="E505" s="8">
        <f t="shared" si="28"/>
        <v>71.285714285714292</v>
      </c>
      <c r="F505" s="3"/>
      <c r="G505" s="3"/>
      <c r="H505" s="3"/>
    </row>
    <row r="506" spans="1:8" ht="18.5" x14ac:dyDescent="0.45">
      <c r="A506" s="3">
        <v>500</v>
      </c>
      <c r="B506" s="9">
        <f t="shared" si="29"/>
        <v>0.99640656576177056</v>
      </c>
      <c r="C506" s="3">
        <f t="shared" si="30"/>
        <v>4425639.4024874801</v>
      </c>
      <c r="D506" s="3">
        <f t="shared" si="31"/>
        <v>83.56718897819519</v>
      </c>
      <c r="E506" s="8">
        <f t="shared" si="28"/>
        <v>71.428571428571431</v>
      </c>
      <c r="F506" s="3"/>
      <c r="G506" s="3"/>
      <c r="H506" s="3"/>
    </row>
    <row r="507" spans="1:8" ht="18.5" x14ac:dyDescent="0.45">
      <c r="A507" s="3">
        <v>501</v>
      </c>
      <c r="B507" s="9">
        <f t="shared" si="29"/>
        <v>0.9964252550851509</v>
      </c>
      <c r="C507" s="3">
        <f t="shared" si="30"/>
        <v>4425722.4129862059</v>
      </c>
      <c r="D507" s="3">
        <f t="shared" si="31"/>
        <v>83.010498725809157</v>
      </c>
      <c r="E507" s="8">
        <f t="shared" si="28"/>
        <v>71.571428571428569</v>
      </c>
      <c r="F507" s="3"/>
      <c r="G507" s="3"/>
      <c r="H507" s="3"/>
    </row>
    <row r="508" spans="1:8" ht="18.5" x14ac:dyDescent="0.45">
      <c r="A508" s="3">
        <v>502</v>
      </c>
      <c r="B508" s="9">
        <f t="shared" si="29"/>
        <v>0.99644382009942178</v>
      </c>
      <c r="C508" s="3">
        <f t="shared" si="30"/>
        <v>4425804.8713535918</v>
      </c>
      <c r="D508" s="3">
        <f t="shared" si="31"/>
        <v>82.458367385901511</v>
      </c>
      <c r="E508" s="8">
        <f t="shared" si="28"/>
        <v>71.714285714285708</v>
      </c>
      <c r="F508" s="3"/>
      <c r="G508" s="3"/>
      <c r="H508" s="3"/>
    </row>
    <row r="509" spans="1:8" ht="18.5" x14ac:dyDescent="0.45">
      <c r="A509" s="3">
        <v>503</v>
      </c>
      <c r="B509" s="9">
        <f t="shared" si="29"/>
        <v>0.99646226182096542</v>
      </c>
      <c r="C509" s="3">
        <f t="shared" si="30"/>
        <v>4425886.7821040004</v>
      </c>
      <c r="D509" s="3">
        <f t="shared" si="31"/>
        <v>81.910750408656895</v>
      </c>
      <c r="E509" s="8">
        <f t="shared" si="28"/>
        <v>71.857142857142861</v>
      </c>
      <c r="F509" s="3"/>
      <c r="G509" s="3"/>
      <c r="H509" s="3"/>
    </row>
    <row r="510" spans="1:8" ht="18.5" x14ac:dyDescent="0.45">
      <c r="A510" s="3">
        <v>504</v>
      </c>
      <c r="B510" s="9">
        <f t="shared" si="29"/>
        <v>0.99648058125624928</v>
      </c>
      <c r="C510" s="3">
        <f t="shared" si="30"/>
        <v>4425968.1497077569</v>
      </c>
      <c r="D510" s="3">
        <f t="shared" si="31"/>
        <v>81.36760375648737</v>
      </c>
      <c r="E510" s="8">
        <f t="shared" si="28"/>
        <v>72</v>
      </c>
      <c r="F510" s="3"/>
      <c r="G510" s="3"/>
      <c r="H510" s="3"/>
    </row>
    <row r="511" spans="1:8" ht="18.5" x14ac:dyDescent="0.45">
      <c r="A511" s="3">
        <v>505</v>
      </c>
      <c r="B511" s="9">
        <f t="shared" si="29"/>
        <v>0.99649877940193787</v>
      </c>
      <c r="C511" s="3">
        <f t="shared" si="30"/>
        <v>4426048.978591647</v>
      </c>
      <c r="D511" s="3">
        <f t="shared" si="31"/>
        <v>80.828883890062571</v>
      </c>
      <c r="E511" s="8">
        <f t="shared" si="28"/>
        <v>72.142857142857139</v>
      </c>
      <c r="F511" s="3"/>
      <c r="G511" s="3"/>
      <c r="H511" s="3"/>
    </row>
    <row r="512" spans="1:8" ht="18.5" x14ac:dyDescent="0.45">
      <c r="A512" s="3">
        <v>506</v>
      </c>
      <c r="B512" s="9">
        <f t="shared" si="29"/>
        <v>0.99651685724500494</v>
      </c>
      <c r="C512" s="3">
        <f t="shared" si="30"/>
        <v>4426129.2731394144</v>
      </c>
      <c r="D512" s="3">
        <f t="shared" si="31"/>
        <v>80.29454776737839</v>
      </c>
      <c r="E512" s="8">
        <f t="shared" si="28"/>
        <v>72.285714285714292</v>
      </c>
      <c r="F512" s="3"/>
      <c r="G512" s="3"/>
      <c r="H512" s="3"/>
    </row>
    <row r="513" spans="1:8" ht="18.5" x14ac:dyDescent="0.45">
      <c r="A513" s="3">
        <v>507</v>
      </c>
      <c r="B513" s="9">
        <f t="shared" si="29"/>
        <v>0.99653481576284297</v>
      </c>
      <c r="C513" s="3">
        <f t="shared" si="30"/>
        <v>4426209.0376922432</v>
      </c>
      <c r="D513" s="3">
        <f t="shared" si="31"/>
        <v>79.764552828855813</v>
      </c>
      <c r="E513" s="8">
        <f t="shared" si="28"/>
        <v>72.428571428571431</v>
      </c>
      <c r="F513" s="3"/>
      <c r="G513" s="3"/>
      <c r="H513" s="3"/>
    </row>
    <row r="514" spans="1:8" ht="18.5" x14ac:dyDescent="0.45">
      <c r="A514" s="3">
        <v>508</v>
      </c>
      <c r="B514" s="9">
        <f t="shared" si="29"/>
        <v>0.99655265592337172</v>
      </c>
      <c r="C514" s="3">
        <f t="shared" si="30"/>
        <v>4426288.276549248</v>
      </c>
      <c r="D514" s="3">
        <f t="shared" si="31"/>
        <v>79.238857004791498</v>
      </c>
      <c r="E514" s="8">
        <f t="shared" si="28"/>
        <v>72.571428571428569</v>
      </c>
      <c r="F514" s="3"/>
      <c r="G514" s="3"/>
      <c r="H514" s="3"/>
    </row>
    <row r="515" spans="1:8" ht="18.5" x14ac:dyDescent="0.45">
      <c r="A515" s="3">
        <v>509</v>
      </c>
      <c r="B515" s="9">
        <f t="shared" si="29"/>
        <v>0.99657037868514498</v>
      </c>
      <c r="C515" s="3">
        <f t="shared" si="30"/>
        <v>4426366.9939679401</v>
      </c>
      <c r="D515" s="3">
        <f t="shared" si="31"/>
        <v>78.717418692074716</v>
      </c>
      <c r="E515" s="8">
        <f t="shared" si="28"/>
        <v>72.714285714285708</v>
      </c>
      <c r="F515" s="3"/>
      <c r="G515" s="3"/>
      <c r="H515" s="3"/>
    </row>
    <row r="516" spans="1:8" ht="18.5" x14ac:dyDescent="0.45">
      <c r="A516" s="3">
        <v>510</v>
      </c>
      <c r="B516" s="9">
        <f t="shared" si="29"/>
        <v>0.9965879849974566</v>
      </c>
      <c r="C516" s="3">
        <f t="shared" si="30"/>
        <v>4426445.1941647036</v>
      </c>
      <c r="D516" s="3">
        <f t="shared" si="31"/>
        <v>78.200196763500571</v>
      </c>
      <c r="E516" s="8">
        <f t="shared" si="28"/>
        <v>72.857142857142861</v>
      </c>
      <c r="F516" s="3"/>
      <c r="G516" s="3"/>
      <c r="H516" s="3"/>
    </row>
    <row r="517" spans="1:8" ht="18.5" x14ac:dyDescent="0.45">
      <c r="A517" s="3">
        <v>511</v>
      </c>
      <c r="B517" s="9">
        <f t="shared" si="29"/>
        <v>0.99660547580044456</v>
      </c>
      <c r="C517" s="3">
        <f t="shared" si="30"/>
        <v>4426522.8813152546</v>
      </c>
      <c r="D517" s="3">
        <f t="shared" si="31"/>
        <v>77.687150551006198</v>
      </c>
      <c r="E517" s="8">
        <f t="shared" si="28"/>
        <v>73</v>
      </c>
      <c r="F517" s="3"/>
      <c r="G517" s="3"/>
      <c r="H517" s="3"/>
    </row>
    <row r="518" spans="1:8" ht="18.5" x14ac:dyDescent="0.45">
      <c r="A518" s="3">
        <v>512</v>
      </c>
      <c r="B518" s="9">
        <f t="shared" si="29"/>
        <v>0.99662285202519407</v>
      </c>
      <c r="C518" s="3">
        <f t="shared" si="30"/>
        <v>4426600.0595551021</v>
      </c>
      <c r="D518" s="3">
        <f t="shared" si="31"/>
        <v>77.178239847533405</v>
      </c>
      <c r="E518" s="8">
        <f t="shared" si="28"/>
        <v>73.142857142857139</v>
      </c>
      <c r="F518" s="3"/>
      <c r="G518" s="3"/>
      <c r="H518" s="3"/>
    </row>
    <row r="519" spans="1:8" ht="18.5" x14ac:dyDescent="0.45">
      <c r="A519" s="3">
        <v>513</v>
      </c>
      <c r="B519" s="9">
        <f t="shared" si="29"/>
        <v>0.99664011459383883</v>
      </c>
      <c r="C519" s="3">
        <f t="shared" si="30"/>
        <v>4426676.7329799943</v>
      </c>
      <c r="D519" s="3">
        <f t="shared" si="31"/>
        <v>76.673424892127514</v>
      </c>
      <c r="E519" s="8">
        <f t="shared" ref="E519:E582" si="32">A519/7</f>
        <v>73.285714285714292</v>
      </c>
      <c r="F519" s="3"/>
      <c r="G519" s="3"/>
      <c r="H519" s="3"/>
    </row>
    <row r="520" spans="1:8" ht="18.5" x14ac:dyDescent="0.45">
      <c r="A520" s="3">
        <v>514</v>
      </c>
      <c r="B520" s="9">
        <f t="shared" ref="B520:B583" si="33">LOGNORMDIST(A520,$A$3,$B$3)</f>
        <v>0.99665726441966174</v>
      </c>
      <c r="C520" s="3">
        <f t="shared" ref="C520:C583" si="34">$E$3*B520</f>
        <v>4426752.9056463698</v>
      </c>
      <c r="D520" s="3">
        <f t="shared" ref="D520:D583" si="35">C520-C519</f>
        <v>76.172666375525296</v>
      </c>
      <c r="E520" s="8">
        <f t="shared" si="32"/>
        <v>73.428571428571431</v>
      </c>
      <c r="F520" s="3"/>
      <c r="G520" s="3"/>
      <c r="H520" s="3"/>
    </row>
    <row r="521" spans="1:8" ht="18.5" x14ac:dyDescent="0.45">
      <c r="A521" s="3">
        <v>515</v>
      </c>
      <c r="B521" s="9">
        <f t="shared" si="33"/>
        <v>0.99667430240719379</v>
      </c>
      <c r="C521" s="3">
        <f t="shared" si="34"/>
        <v>4426828.5815717923</v>
      </c>
      <c r="D521" s="3">
        <f t="shared" si="35"/>
        <v>75.675925422459841</v>
      </c>
      <c r="E521" s="8">
        <f t="shared" si="32"/>
        <v>73.571428571428569</v>
      </c>
      <c r="F521" s="3"/>
      <c r="G521" s="3"/>
      <c r="H521" s="3"/>
    </row>
    <row r="522" spans="1:8" ht="18.5" x14ac:dyDescent="0.45">
      <c r="A522" s="3">
        <v>516</v>
      </c>
      <c r="B522" s="9">
        <f t="shared" si="33"/>
        <v>0.9966912294523117</v>
      </c>
      <c r="C522" s="3">
        <f t="shared" si="34"/>
        <v>4426903.7647353876</v>
      </c>
      <c r="D522" s="3">
        <f t="shared" si="35"/>
        <v>75.183163595385849</v>
      </c>
      <c r="E522" s="8">
        <f t="shared" si="32"/>
        <v>73.714285714285708</v>
      </c>
      <c r="F522" s="3"/>
      <c r="G522" s="3"/>
      <c r="H522" s="3"/>
    </row>
    <row r="523" spans="1:8" ht="18.5" x14ac:dyDescent="0.45">
      <c r="A523" s="3">
        <v>517</v>
      </c>
      <c r="B523" s="9">
        <f t="shared" si="33"/>
        <v>0.99670804644233446</v>
      </c>
      <c r="C523" s="3">
        <f t="shared" si="34"/>
        <v>4426978.4590782728</v>
      </c>
      <c r="D523" s="3">
        <f t="shared" si="35"/>
        <v>74.694342885166407</v>
      </c>
      <c r="E523" s="8">
        <f t="shared" si="32"/>
        <v>73.857142857142861</v>
      </c>
      <c r="F523" s="3"/>
      <c r="G523" s="3"/>
      <c r="H523" s="3"/>
    </row>
    <row r="524" spans="1:8" ht="18.5" x14ac:dyDescent="0.45">
      <c r="A524" s="3">
        <v>518</v>
      </c>
      <c r="B524" s="9">
        <f t="shared" si="33"/>
        <v>0.99672475425611884</v>
      </c>
      <c r="C524" s="3">
        <f t="shared" si="34"/>
        <v>4427052.6685039774</v>
      </c>
      <c r="D524" s="3">
        <f t="shared" si="35"/>
        <v>74.209425704553723</v>
      </c>
      <c r="E524" s="8">
        <f t="shared" si="32"/>
        <v>74</v>
      </c>
      <c r="F524" s="3"/>
      <c r="G524" s="3"/>
      <c r="H524" s="3"/>
    </row>
    <row r="525" spans="1:8" ht="18.5" x14ac:dyDescent="0.45">
      <c r="A525" s="3">
        <v>519</v>
      </c>
      <c r="B525" s="9">
        <f t="shared" si="33"/>
        <v>0.99674135376415318</v>
      </c>
      <c r="C525" s="3">
        <f t="shared" si="34"/>
        <v>4427126.3968788628</v>
      </c>
      <c r="D525" s="3">
        <f t="shared" si="35"/>
        <v>73.728374885395169</v>
      </c>
      <c r="E525" s="8">
        <f t="shared" si="32"/>
        <v>74.142857142857139</v>
      </c>
      <c r="F525" s="3"/>
      <c r="G525" s="3"/>
      <c r="H525" s="3"/>
    </row>
    <row r="526" spans="1:8" ht="18.5" x14ac:dyDescent="0.45">
      <c r="A526" s="3">
        <v>520</v>
      </c>
      <c r="B526" s="9">
        <f t="shared" si="33"/>
        <v>0.99675784582865024</v>
      </c>
      <c r="C526" s="3">
        <f t="shared" si="34"/>
        <v>4427199.648032533</v>
      </c>
      <c r="D526" s="3">
        <f t="shared" si="35"/>
        <v>73.251153670251369</v>
      </c>
      <c r="E526" s="8">
        <f t="shared" si="32"/>
        <v>74.285714285714292</v>
      </c>
      <c r="F526" s="3"/>
      <c r="G526" s="3"/>
      <c r="H526" s="3"/>
    </row>
    <row r="527" spans="1:8" ht="18.5" x14ac:dyDescent="0.45">
      <c r="A527" s="3">
        <v>521</v>
      </c>
      <c r="B527" s="9">
        <f t="shared" si="33"/>
        <v>0.99677423130363896</v>
      </c>
      <c r="C527" s="3">
        <f t="shared" si="34"/>
        <v>4427272.4257582426</v>
      </c>
      <c r="D527" s="3">
        <f t="shared" si="35"/>
        <v>72.777725709602237</v>
      </c>
      <c r="E527" s="8">
        <f t="shared" si="32"/>
        <v>74.428571428571431</v>
      </c>
      <c r="F527" s="3"/>
      <c r="G527" s="3"/>
      <c r="H527" s="3"/>
    </row>
    <row r="528" spans="1:8" ht="18.5" x14ac:dyDescent="0.45">
      <c r="A528" s="3">
        <v>522</v>
      </c>
      <c r="B528" s="9">
        <f t="shared" si="33"/>
        <v>0.99679051103505523</v>
      </c>
      <c r="C528" s="3">
        <f t="shared" si="34"/>
        <v>4427344.7338133017</v>
      </c>
      <c r="D528" s="3">
        <f t="shared" si="35"/>
        <v>72.308055059053004</v>
      </c>
      <c r="E528" s="8">
        <f t="shared" si="32"/>
        <v>74.571428571428569</v>
      </c>
      <c r="F528" s="3"/>
      <c r="G528" s="3"/>
      <c r="H528" s="3"/>
    </row>
    <row r="529" spans="1:8" ht="18.5" x14ac:dyDescent="0.45">
      <c r="A529" s="3">
        <v>523</v>
      </c>
      <c r="B529" s="9">
        <f t="shared" si="33"/>
        <v>0.99680668586083077</v>
      </c>
      <c r="C529" s="3">
        <f t="shared" si="34"/>
        <v>4427416.5759194661</v>
      </c>
      <c r="D529" s="3">
        <f t="shared" si="35"/>
        <v>71.842106164433062</v>
      </c>
      <c r="E529" s="8">
        <f t="shared" si="32"/>
        <v>74.714285714285708</v>
      </c>
      <c r="F529" s="3"/>
      <c r="G529" s="3"/>
      <c r="H529" s="3"/>
    </row>
    <row r="530" spans="1:8" ht="18.5" x14ac:dyDescent="0.45">
      <c r="A530" s="3">
        <v>524</v>
      </c>
      <c r="B530" s="9">
        <f t="shared" si="33"/>
        <v>0.99682275661098185</v>
      </c>
      <c r="C530" s="3">
        <f t="shared" si="34"/>
        <v>4427487.9557633372</v>
      </c>
      <c r="D530" s="3">
        <f t="shared" si="35"/>
        <v>71.379843871109188</v>
      </c>
      <c r="E530" s="8">
        <f t="shared" si="32"/>
        <v>74.857142857142861</v>
      </c>
      <c r="F530" s="3"/>
      <c r="G530" s="3"/>
      <c r="H530" s="3"/>
    </row>
    <row r="531" spans="1:8" ht="18.5" x14ac:dyDescent="0.45">
      <c r="A531" s="3">
        <v>525</v>
      </c>
      <c r="B531" s="9">
        <f t="shared" si="33"/>
        <v>0.99683872410769592</v>
      </c>
      <c r="C531" s="3">
        <f t="shared" si="34"/>
        <v>4427558.8769967426</v>
      </c>
      <c r="D531" s="3">
        <f t="shared" si="35"/>
        <v>70.921233405359089</v>
      </c>
      <c r="E531" s="8">
        <f t="shared" si="32"/>
        <v>75</v>
      </c>
      <c r="F531" s="3"/>
      <c r="G531" s="3"/>
      <c r="H531" s="3"/>
    </row>
    <row r="532" spans="1:8" ht="18.5" x14ac:dyDescent="0.45">
      <c r="A532" s="3">
        <v>526</v>
      </c>
      <c r="B532" s="9">
        <f t="shared" si="33"/>
        <v>0.99685458916541836</v>
      </c>
      <c r="C532" s="3">
        <f t="shared" si="34"/>
        <v>4427629.3432371225</v>
      </c>
      <c r="D532" s="3">
        <f t="shared" si="35"/>
        <v>70.466240379959345</v>
      </c>
      <c r="E532" s="8">
        <f t="shared" si="32"/>
        <v>75.142857142857139</v>
      </c>
      <c r="F532" s="3"/>
      <c r="G532" s="3"/>
      <c r="H532" s="3"/>
    </row>
    <row r="533" spans="1:8" ht="18.5" x14ac:dyDescent="0.45">
      <c r="A533" s="3">
        <v>527</v>
      </c>
      <c r="B533" s="9">
        <f t="shared" si="33"/>
        <v>0.99687035259093648</v>
      </c>
      <c r="C533" s="3">
        <f t="shared" si="34"/>
        <v>4427699.3580679037</v>
      </c>
      <c r="D533" s="3">
        <f t="shared" si="35"/>
        <v>70.014830781146884</v>
      </c>
      <c r="E533" s="8">
        <f t="shared" si="32"/>
        <v>75.285714285714292</v>
      </c>
      <c r="F533" s="3"/>
      <c r="G533" s="3"/>
      <c r="H533" s="3"/>
    </row>
    <row r="534" spans="1:8" ht="18.5" x14ac:dyDescent="0.45">
      <c r="A534" s="3">
        <v>528</v>
      </c>
      <c r="B534" s="9">
        <f t="shared" si="33"/>
        <v>0.99688601518346431</v>
      </c>
      <c r="C534" s="3">
        <f t="shared" si="34"/>
        <v>4427768.9250388751</v>
      </c>
      <c r="D534" s="3">
        <f t="shared" si="35"/>
        <v>69.566970971412957</v>
      </c>
      <c r="E534" s="8">
        <f t="shared" si="32"/>
        <v>75.428571428571431</v>
      </c>
      <c r="F534" s="3"/>
      <c r="G534" s="3"/>
      <c r="H534" s="3"/>
    </row>
    <row r="535" spans="1:8" ht="18.5" x14ac:dyDescent="0.45">
      <c r="A535" s="3">
        <v>529</v>
      </c>
      <c r="B535" s="9">
        <f t="shared" si="33"/>
        <v>0.99690157773472488</v>
      </c>
      <c r="C535" s="3">
        <f t="shared" si="34"/>
        <v>4427838.0476665543</v>
      </c>
      <c r="D535" s="3">
        <f t="shared" si="35"/>
        <v>69.122627679258585</v>
      </c>
      <c r="E535" s="8">
        <f t="shared" si="32"/>
        <v>75.571428571428569</v>
      </c>
      <c r="F535" s="3"/>
      <c r="G535" s="3"/>
      <c r="H535" s="3"/>
    </row>
    <row r="536" spans="1:8" ht="18.5" x14ac:dyDescent="0.45">
      <c r="A536" s="3">
        <v>530</v>
      </c>
      <c r="B536" s="9">
        <f t="shared" si="33"/>
        <v>0.99691704102903234</v>
      </c>
      <c r="C536" s="3">
        <f t="shared" si="34"/>
        <v>4427906.7294345498</v>
      </c>
      <c r="D536" s="3">
        <f t="shared" si="35"/>
        <v>68.681767995469272</v>
      </c>
      <c r="E536" s="8">
        <f t="shared" si="32"/>
        <v>75.714285714285708</v>
      </c>
      <c r="F536" s="3"/>
      <c r="G536" s="3"/>
      <c r="H536" s="3"/>
    </row>
    <row r="537" spans="1:8" ht="18.5" x14ac:dyDescent="0.45">
      <c r="A537" s="3">
        <v>531</v>
      </c>
      <c r="B537" s="9">
        <f t="shared" si="33"/>
        <v>0.99693240584337228</v>
      </c>
      <c r="C537" s="3">
        <f t="shared" si="34"/>
        <v>4427974.973793922</v>
      </c>
      <c r="D537" s="3">
        <f t="shared" si="35"/>
        <v>68.244359372183681</v>
      </c>
      <c r="E537" s="8">
        <f t="shared" si="32"/>
        <v>75.857142857142861</v>
      </c>
      <c r="F537" s="3"/>
      <c r="G537" s="3"/>
      <c r="H537" s="3"/>
    </row>
    <row r="538" spans="1:8" ht="18.5" x14ac:dyDescent="0.45">
      <c r="A538" s="3">
        <v>532</v>
      </c>
      <c r="B538" s="9">
        <f t="shared" si="33"/>
        <v>0.99694767294748221</v>
      </c>
      <c r="C538" s="3">
        <f t="shared" si="34"/>
        <v>4428042.7841635374</v>
      </c>
      <c r="D538" s="3">
        <f t="shared" si="35"/>
        <v>67.810369615443051</v>
      </c>
      <c r="E538" s="8">
        <f t="shared" si="32"/>
        <v>76</v>
      </c>
      <c r="F538" s="3"/>
      <c r="G538" s="3"/>
      <c r="H538" s="3"/>
    </row>
    <row r="539" spans="1:8" ht="18.5" x14ac:dyDescent="0.45">
      <c r="A539" s="3">
        <v>533</v>
      </c>
      <c r="B539" s="9">
        <f t="shared" si="33"/>
        <v>0.99696284310392957</v>
      </c>
      <c r="C539" s="3">
        <f t="shared" si="34"/>
        <v>4428110.1639304133</v>
      </c>
      <c r="D539" s="3">
        <f t="shared" si="35"/>
        <v>67.379766875877976</v>
      </c>
      <c r="E539" s="8">
        <f t="shared" si="32"/>
        <v>76.142857142857139</v>
      </c>
      <c r="F539" s="3"/>
      <c r="G539" s="3"/>
      <c r="H539" s="3"/>
    </row>
    <row r="540" spans="1:8" ht="18.5" x14ac:dyDescent="0.45">
      <c r="A540" s="3">
        <v>534</v>
      </c>
      <c r="B540" s="9">
        <f t="shared" si="33"/>
        <v>0.99697791706819006</v>
      </c>
      <c r="C540" s="3">
        <f t="shared" si="34"/>
        <v>4428177.1164500732</v>
      </c>
      <c r="D540" s="3">
        <f t="shared" si="35"/>
        <v>66.952519659884274</v>
      </c>
      <c r="E540" s="8">
        <f t="shared" si="32"/>
        <v>76.285714285714292</v>
      </c>
      <c r="F540" s="3"/>
      <c r="G540" s="3"/>
      <c r="H540" s="3"/>
    </row>
    <row r="541" spans="1:8" ht="18.5" x14ac:dyDescent="0.45">
      <c r="A541" s="3">
        <v>535</v>
      </c>
      <c r="B541" s="9">
        <f t="shared" si="33"/>
        <v>0.99699289558872406</v>
      </c>
      <c r="C541" s="3">
        <f t="shared" si="34"/>
        <v>4428243.6450468767</v>
      </c>
      <c r="D541" s="3">
        <f t="shared" si="35"/>
        <v>66.528596803545952</v>
      </c>
      <c r="E541" s="8">
        <f t="shared" si="32"/>
        <v>76.428571428571431</v>
      </c>
      <c r="F541" s="3"/>
      <c r="G541" s="3"/>
      <c r="H541" s="3"/>
    </row>
    <row r="542" spans="1:8" ht="18.5" x14ac:dyDescent="0.45">
      <c r="A542" s="3">
        <v>536</v>
      </c>
      <c r="B542" s="9">
        <f t="shared" si="33"/>
        <v>0.9970077794070531</v>
      </c>
      <c r="C542" s="3">
        <f t="shared" si="34"/>
        <v>4428309.7530143671</v>
      </c>
      <c r="D542" s="3">
        <f t="shared" si="35"/>
        <v>66.107967490330338</v>
      </c>
      <c r="E542" s="8">
        <f t="shared" si="32"/>
        <v>76.571428571428569</v>
      </c>
      <c r="F542" s="3"/>
      <c r="G542" s="3"/>
      <c r="H542" s="3"/>
    </row>
    <row r="543" spans="1:8" ht="18.5" x14ac:dyDescent="0.45">
      <c r="A543" s="3">
        <v>537</v>
      </c>
      <c r="B543" s="9">
        <f t="shared" si="33"/>
        <v>0.99702256925783417</v>
      </c>
      <c r="C543" s="3">
        <f t="shared" si="34"/>
        <v>4428375.4436155958</v>
      </c>
      <c r="D543" s="3">
        <f t="shared" si="35"/>
        <v>65.690601228736341</v>
      </c>
      <c r="E543" s="8">
        <f t="shared" si="32"/>
        <v>76.714285714285708</v>
      </c>
      <c r="F543" s="3"/>
      <c r="G543" s="3"/>
      <c r="H543" s="3"/>
    </row>
    <row r="544" spans="1:8" ht="18.5" x14ac:dyDescent="0.45">
      <c r="A544" s="3">
        <v>538</v>
      </c>
      <c r="B544" s="9">
        <f t="shared" si="33"/>
        <v>0.99703726586893404</v>
      </c>
      <c r="C544" s="3">
        <f t="shared" si="34"/>
        <v>4428440.7200834574</v>
      </c>
      <c r="D544" s="3">
        <f t="shared" si="35"/>
        <v>65.276467861607671</v>
      </c>
      <c r="E544" s="8">
        <f t="shared" si="32"/>
        <v>76.857142857142861</v>
      </c>
      <c r="F544" s="3"/>
      <c r="G544" s="3"/>
      <c r="H544" s="3"/>
    </row>
    <row r="545" spans="1:8" ht="18.5" x14ac:dyDescent="0.45">
      <c r="A545" s="3">
        <v>539</v>
      </c>
      <c r="B545" s="9">
        <f t="shared" si="33"/>
        <v>0.99705186996150219</v>
      </c>
      <c r="C545" s="3">
        <f t="shared" si="34"/>
        <v>4428505.5856210077</v>
      </c>
      <c r="D545" s="3">
        <f t="shared" si="35"/>
        <v>64.86553755030036</v>
      </c>
      <c r="E545" s="8">
        <f t="shared" si="32"/>
        <v>77</v>
      </c>
      <c r="F545" s="3"/>
      <c r="G545" s="3"/>
      <c r="H545" s="3"/>
    </row>
    <row r="546" spans="1:8" ht="18.5" x14ac:dyDescent="0.45">
      <c r="A546" s="3">
        <v>540</v>
      </c>
      <c r="B546" s="9">
        <f t="shared" si="33"/>
        <v>0.9970663822500434</v>
      </c>
      <c r="C546" s="3">
        <f t="shared" si="34"/>
        <v>4428570.0434017926</v>
      </c>
      <c r="D546" s="3">
        <f t="shared" si="35"/>
        <v>64.457780784927309</v>
      </c>
      <c r="E546" s="8">
        <f t="shared" si="32"/>
        <v>77.142857142857139</v>
      </c>
      <c r="F546" s="3"/>
      <c r="G546" s="3"/>
      <c r="H546" s="3"/>
    </row>
    <row r="547" spans="1:8" ht="18.5" x14ac:dyDescent="0.45">
      <c r="A547" s="3">
        <v>541</v>
      </c>
      <c r="B547" s="9">
        <f t="shared" si="33"/>
        <v>0.99708080344248851</v>
      </c>
      <c r="C547" s="3">
        <f t="shared" si="34"/>
        <v>4428634.0965701565</v>
      </c>
      <c r="D547" s="3">
        <f t="shared" si="35"/>
        <v>64.05316836386919</v>
      </c>
      <c r="E547" s="8">
        <f t="shared" si="32"/>
        <v>77.285714285714292</v>
      </c>
      <c r="F547" s="3"/>
      <c r="G547" s="3"/>
      <c r="H547" s="3"/>
    </row>
    <row r="548" spans="1:8" ht="18.5" x14ac:dyDescent="0.45">
      <c r="A548" s="3">
        <v>542</v>
      </c>
      <c r="B548" s="9">
        <f t="shared" si="33"/>
        <v>0.9970951342402653</v>
      </c>
      <c r="C548" s="3">
        <f t="shared" si="34"/>
        <v>4428697.7482415624</v>
      </c>
      <c r="D548" s="3">
        <f t="shared" si="35"/>
        <v>63.651671405881643</v>
      </c>
      <c r="E548" s="8">
        <f t="shared" si="32"/>
        <v>77.428571428571431</v>
      </c>
      <c r="F548" s="3"/>
      <c r="G548" s="3"/>
      <c r="H548" s="3"/>
    </row>
    <row r="549" spans="1:8" ht="18.5" x14ac:dyDescent="0.45">
      <c r="A549" s="3">
        <v>543</v>
      </c>
      <c r="B549" s="9">
        <f t="shared" si="33"/>
        <v>0.99710937533836785</v>
      </c>
      <c r="C549" s="3">
        <f t="shared" si="34"/>
        <v>4428761.0015028948</v>
      </c>
      <c r="D549" s="3">
        <f t="shared" si="35"/>
        <v>63.253261332400143</v>
      </c>
      <c r="E549" s="8">
        <f t="shared" si="32"/>
        <v>77.571428571428569</v>
      </c>
      <c r="F549" s="3"/>
      <c r="G549" s="3"/>
      <c r="H549" s="3"/>
    </row>
    <row r="550" spans="1:8" ht="18.5" x14ac:dyDescent="0.45">
      <c r="A550" s="3">
        <v>544</v>
      </c>
      <c r="B550" s="9">
        <f t="shared" si="33"/>
        <v>0.9971235274254252</v>
      </c>
      <c r="C550" s="3">
        <f t="shared" si="34"/>
        <v>4428823.8594127689</v>
      </c>
      <c r="D550" s="3">
        <f t="shared" si="35"/>
        <v>62.85790987405926</v>
      </c>
      <c r="E550" s="8">
        <f t="shared" si="32"/>
        <v>77.714285714285708</v>
      </c>
      <c r="F550" s="3"/>
      <c r="G550" s="3"/>
      <c r="H550" s="3"/>
    </row>
    <row r="551" spans="1:8" ht="18.5" x14ac:dyDescent="0.45">
      <c r="A551" s="3">
        <v>545</v>
      </c>
      <c r="B551" s="9">
        <f t="shared" si="33"/>
        <v>0.99713759118376954</v>
      </c>
      <c r="C551" s="3">
        <f t="shared" si="34"/>
        <v>4428886.3250018312</v>
      </c>
      <c r="D551" s="3">
        <f t="shared" si="35"/>
        <v>62.465589062310755</v>
      </c>
      <c r="E551" s="8">
        <f t="shared" si="32"/>
        <v>77.857142857142861</v>
      </c>
      <c r="F551" s="3"/>
      <c r="G551" s="3"/>
      <c r="H551" s="3"/>
    </row>
    <row r="552" spans="1:8" ht="18.5" x14ac:dyDescent="0.45">
      <c r="A552" s="3">
        <v>546</v>
      </c>
      <c r="B552" s="9">
        <f t="shared" si="33"/>
        <v>0.99715156728950283</v>
      </c>
      <c r="C552" s="3">
        <f t="shared" si="34"/>
        <v>4428948.4012730559</v>
      </c>
      <c r="D552" s="3">
        <f t="shared" si="35"/>
        <v>62.07627122476697</v>
      </c>
      <c r="E552" s="8">
        <f t="shared" si="32"/>
        <v>78</v>
      </c>
      <c r="F552" s="3"/>
      <c r="G552" s="3"/>
      <c r="H552" s="3"/>
    </row>
    <row r="553" spans="1:8" ht="18.5" x14ac:dyDescent="0.45">
      <c r="A553" s="3">
        <v>547</v>
      </c>
      <c r="B553" s="9">
        <f t="shared" si="33"/>
        <v>0.99716545641256338</v>
      </c>
      <c r="C553" s="3">
        <f t="shared" si="34"/>
        <v>4429010.0912020411</v>
      </c>
      <c r="D553" s="3">
        <f t="shared" si="35"/>
        <v>61.689928985200822</v>
      </c>
      <c r="E553" s="8">
        <f t="shared" si="32"/>
        <v>78.142857142857139</v>
      </c>
      <c r="F553" s="3"/>
      <c r="G553" s="3"/>
      <c r="H553" s="3"/>
    </row>
    <row r="554" spans="1:8" ht="18.5" x14ac:dyDescent="0.45">
      <c r="A554" s="3">
        <v>548</v>
      </c>
      <c r="B554" s="9">
        <f t="shared" si="33"/>
        <v>0.99717925921679118</v>
      </c>
      <c r="C554" s="3">
        <f t="shared" si="34"/>
        <v>4429071.3977373</v>
      </c>
      <c r="D554" s="3">
        <f t="shared" si="35"/>
        <v>61.306535258889198</v>
      </c>
      <c r="E554" s="8">
        <f t="shared" si="32"/>
        <v>78.285714285714292</v>
      </c>
      <c r="F554" s="3"/>
      <c r="G554" s="3"/>
      <c r="H554" s="3"/>
    </row>
    <row r="555" spans="1:8" ht="18.5" x14ac:dyDescent="0.45">
      <c r="A555" s="3">
        <v>549</v>
      </c>
      <c r="B555" s="9">
        <f t="shared" si="33"/>
        <v>0.9971929763599926</v>
      </c>
      <c r="C555" s="3">
        <f t="shared" si="34"/>
        <v>4429132.3238005433</v>
      </c>
      <c r="D555" s="3">
        <f t="shared" si="35"/>
        <v>60.926063243299723</v>
      </c>
      <c r="E555" s="8">
        <f t="shared" si="32"/>
        <v>78.428571428571431</v>
      </c>
      <c r="F555" s="3"/>
      <c r="G555" s="3"/>
      <c r="H555" s="3"/>
    </row>
    <row r="556" spans="1:8" ht="18.5" x14ac:dyDescent="0.45">
      <c r="A556" s="3">
        <v>550</v>
      </c>
      <c r="B556" s="9">
        <f t="shared" si="33"/>
        <v>0.99720660849400378</v>
      </c>
      <c r="C556" s="3">
        <f t="shared" si="34"/>
        <v>4429192.872286967</v>
      </c>
      <c r="D556" s="3">
        <f t="shared" si="35"/>
        <v>60.548486423678696</v>
      </c>
      <c r="E556" s="8">
        <f t="shared" si="32"/>
        <v>78.571428571428569</v>
      </c>
      <c r="F556" s="3"/>
      <c r="G556" s="3"/>
      <c r="H556" s="3"/>
    </row>
    <row r="557" spans="1:8" ht="18.5" x14ac:dyDescent="0.45">
      <c r="A557" s="3">
        <v>551</v>
      </c>
      <c r="B557" s="9">
        <f t="shared" si="33"/>
        <v>0.99722015626475458</v>
      </c>
      <c r="C557" s="3">
        <f t="shared" si="34"/>
        <v>4429253.0460655335</v>
      </c>
      <c r="D557" s="3">
        <f t="shared" si="35"/>
        <v>60.173778566531837</v>
      </c>
      <c r="E557" s="8">
        <f t="shared" si="32"/>
        <v>78.714285714285708</v>
      </c>
      <c r="F557" s="3"/>
      <c r="G557" s="3"/>
      <c r="H557" s="3"/>
    </row>
    <row r="558" spans="1:8" ht="18.5" x14ac:dyDescent="0.45">
      <c r="A558" s="3">
        <v>552</v>
      </c>
      <c r="B558" s="9">
        <f t="shared" si="33"/>
        <v>0.99723362031233009</v>
      </c>
      <c r="C558" s="3">
        <f t="shared" si="34"/>
        <v>4429312.8479792457</v>
      </c>
      <c r="D558" s="3">
        <f t="shared" si="35"/>
        <v>59.8019137121737</v>
      </c>
      <c r="E558" s="8">
        <f t="shared" si="32"/>
        <v>78.857142857142861</v>
      </c>
      <c r="F558" s="3"/>
      <c r="G558" s="3"/>
      <c r="H558" s="3"/>
    </row>
    <row r="559" spans="1:8" ht="18.5" x14ac:dyDescent="0.45">
      <c r="A559" s="3">
        <v>553</v>
      </c>
      <c r="B559" s="9">
        <f t="shared" si="33"/>
        <v>0.99724700127103272</v>
      </c>
      <c r="C559" s="3">
        <f t="shared" si="34"/>
        <v>4429372.2808454186</v>
      </c>
      <c r="D559" s="3">
        <f t="shared" si="35"/>
        <v>59.432866172865033</v>
      </c>
      <c r="E559" s="8">
        <f t="shared" si="32"/>
        <v>79</v>
      </c>
      <c r="F559" s="3"/>
      <c r="G559" s="3"/>
      <c r="H559" s="3"/>
    </row>
    <row r="560" spans="1:8" ht="18.5" x14ac:dyDescent="0.45">
      <c r="A560" s="3">
        <v>554</v>
      </c>
      <c r="B560" s="9">
        <f t="shared" si="33"/>
        <v>0.99726029976944253</v>
      </c>
      <c r="C560" s="3">
        <f t="shared" si="34"/>
        <v>4429431.347455956</v>
      </c>
      <c r="D560" s="3">
        <f t="shared" si="35"/>
        <v>59.066610537469387</v>
      </c>
      <c r="E560" s="8">
        <f t="shared" si="32"/>
        <v>79.142857142857139</v>
      </c>
      <c r="F560" s="3"/>
      <c r="G560" s="3"/>
      <c r="H560" s="3"/>
    </row>
    <row r="561" spans="1:8" ht="18.5" x14ac:dyDescent="0.45">
      <c r="A561" s="3">
        <v>555</v>
      </c>
      <c r="B561" s="9">
        <f t="shared" si="33"/>
        <v>0.99727351643047779</v>
      </c>
      <c r="C561" s="3">
        <f t="shared" si="34"/>
        <v>4429490.0505776098</v>
      </c>
      <c r="D561" s="3">
        <f t="shared" si="35"/>
        <v>58.703121653757989</v>
      </c>
      <c r="E561" s="8">
        <f t="shared" si="32"/>
        <v>79.285714285714292</v>
      </c>
      <c r="F561" s="3"/>
      <c r="G561" s="3"/>
      <c r="H561" s="3"/>
    </row>
    <row r="562" spans="1:8" ht="18.5" x14ac:dyDescent="0.45">
      <c r="A562" s="3">
        <v>556</v>
      </c>
      <c r="B562" s="9">
        <f t="shared" si="33"/>
        <v>0.99728665187145427</v>
      </c>
      <c r="C562" s="3">
        <f t="shared" si="34"/>
        <v>4429548.3929522512</v>
      </c>
      <c r="D562" s="3">
        <f t="shared" si="35"/>
        <v>58.342374641448259</v>
      </c>
      <c r="E562" s="8">
        <f t="shared" si="32"/>
        <v>79.428571428571431</v>
      </c>
      <c r="F562" s="3"/>
      <c r="G562" s="3"/>
      <c r="H562" s="3"/>
    </row>
    <row r="563" spans="1:8" ht="18.5" x14ac:dyDescent="0.45">
      <c r="A563" s="3">
        <v>557</v>
      </c>
      <c r="B563" s="9">
        <f t="shared" si="33"/>
        <v>0.9972997067041437</v>
      </c>
      <c r="C563" s="3">
        <f t="shared" si="34"/>
        <v>4429606.3772971248</v>
      </c>
      <c r="D563" s="3">
        <f t="shared" si="35"/>
        <v>57.984344873577356</v>
      </c>
      <c r="E563" s="8">
        <f t="shared" si="32"/>
        <v>79.571428571428569</v>
      </c>
      <c r="F563" s="3"/>
      <c r="G563" s="3"/>
      <c r="H563" s="3"/>
    </row>
    <row r="564" spans="1:8" ht="18.5" x14ac:dyDescent="0.45">
      <c r="A564" s="3">
        <v>558</v>
      </c>
      <c r="B564" s="9">
        <f t="shared" si="33"/>
        <v>0.99731268153483177</v>
      </c>
      <c r="C564" s="3">
        <f t="shared" si="34"/>
        <v>4429664.0063051088</v>
      </c>
      <c r="D564" s="3">
        <f t="shared" si="35"/>
        <v>57.629007983952761</v>
      </c>
      <c r="E564" s="8">
        <f t="shared" si="32"/>
        <v>79.714285714285708</v>
      </c>
      <c r="F564" s="3"/>
      <c r="G564" s="3"/>
      <c r="H564" s="3"/>
    </row>
    <row r="565" spans="1:8" ht="18.5" x14ac:dyDescent="0.45">
      <c r="A565" s="3">
        <v>559</v>
      </c>
      <c r="B565" s="9">
        <f t="shared" si="33"/>
        <v>0.9973255769643754</v>
      </c>
      <c r="C565" s="3">
        <f t="shared" si="34"/>
        <v>4429721.2826449694</v>
      </c>
      <c r="D565" s="3">
        <f t="shared" si="35"/>
        <v>57.276339860633016</v>
      </c>
      <c r="E565" s="8">
        <f t="shared" si="32"/>
        <v>79.857142857142861</v>
      </c>
      <c r="F565" s="3"/>
      <c r="G565" s="3"/>
      <c r="H565" s="3"/>
    </row>
    <row r="566" spans="1:8" ht="18.5" x14ac:dyDescent="0.45">
      <c r="A566" s="3">
        <v>560</v>
      </c>
      <c r="B566" s="9">
        <f t="shared" si="33"/>
        <v>0.9973383935882596</v>
      </c>
      <c r="C566" s="3">
        <f t="shared" si="34"/>
        <v>4429778.2089616135</v>
      </c>
      <c r="D566" s="3">
        <f t="shared" si="35"/>
        <v>56.926316644065082</v>
      </c>
      <c r="E566" s="8">
        <f t="shared" si="32"/>
        <v>80</v>
      </c>
      <c r="F566" s="3"/>
      <c r="G566" s="3"/>
      <c r="H566" s="3"/>
    </row>
    <row r="567" spans="1:8" ht="18.5" x14ac:dyDescent="0.45">
      <c r="A567" s="3">
        <v>561</v>
      </c>
      <c r="B567" s="9">
        <f t="shared" si="33"/>
        <v>0.99735113199665293</v>
      </c>
      <c r="C567" s="3">
        <f t="shared" si="34"/>
        <v>4429834.787876334</v>
      </c>
      <c r="D567" s="3">
        <f t="shared" si="35"/>
        <v>56.578914720565081</v>
      </c>
      <c r="E567" s="8">
        <f t="shared" si="32"/>
        <v>80.142857142857139</v>
      </c>
      <c r="F567" s="3"/>
      <c r="G567" s="3"/>
      <c r="H567" s="3"/>
    </row>
    <row r="568" spans="1:8" ht="18.5" x14ac:dyDescent="0.45">
      <c r="A568" s="3">
        <v>562</v>
      </c>
      <c r="B568" s="9">
        <f t="shared" si="33"/>
        <v>0.99736379277446296</v>
      </c>
      <c r="C568" s="3">
        <f t="shared" si="34"/>
        <v>4429891.0219870545</v>
      </c>
      <c r="D568" s="3">
        <f t="shared" si="35"/>
        <v>56.234110720455647</v>
      </c>
      <c r="E568" s="8">
        <f t="shared" si="32"/>
        <v>80.285714285714292</v>
      </c>
      <c r="F568" s="3"/>
      <c r="G568" s="3"/>
      <c r="H568" s="3"/>
    </row>
    <row r="569" spans="1:8" ht="18.5" x14ac:dyDescent="0.45">
      <c r="A569" s="3">
        <v>563</v>
      </c>
      <c r="B569" s="9">
        <f t="shared" si="33"/>
        <v>0.9973763765013911</v>
      </c>
      <c r="C569" s="3">
        <f t="shared" si="34"/>
        <v>4429946.9138685791</v>
      </c>
      <c r="D569" s="3">
        <f t="shared" si="35"/>
        <v>55.891881524585187</v>
      </c>
      <c r="E569" s="8">
        <f t="shared" si="32"/>
        <v>80.428571428571431</v>
      </c>
      <c r="F569" s="3"/>
      <c r="G569" s="3"/>
      <c r="H569" s="3"/>
    </row>
    <row r="570" spans="1:8" ht="18.5" x14ac:dyDescent="0.45">
      <c r="A570" s="3">
        <v>564</v>
      </c>
      <c r="B570" s="9">
        <f t="shared" si="33"/>
        <v>0.99738888375198598</v>
      </c>
      <c r="C570" s="3">
        <f t="shared" si="34"/>
        <v>4430002.4660728211</v>
      </c>
      <c r="D570" s="3">
        <f t="shared" si="35"/>
        <v>55.552204241976142</v>
      </c>
      <c r="E570" s="8">
        <f t="shared" si="32"/>
        <v>80.571428571428569</v>
      </c>
      <c r="F570" s="3"/>
      <c r="G570" s="3"/>
      <c r="H570" s="3"/>
    </row>
    <row r="571" spans="1:8" ht="18.5" x14ac:dyDescent="0.45">
      <c r="A571" s="3">
        <v>565</v>
      </c>
      <c r="B571" s="9">
        <f t="shared" si="33"/>
        <v>0.99740131509569707</v>
      </c>
      <c r="C571" s="3">
        <f t="shared" si="34"/>
        <v>4430057.6811290486</v>
      </c>
      <c r="D571" s="3">
        <f t="shared" si="35"/>
        <v>55.215056227520108</v>
      </c>
      <c r="E571" s="8">
        <f t="shared" si="32"/>
        <v>80.714285714285708</v>
      </c>
      <c r="F571" s="3"/>
      <c r="G571" s="3"/>
      <c r="H571" s="3"/>
    </row>
    <row r="572" spans="1:8" ht="18.5" x14ac:dyDescent="0.45">
      <c r="A572" s="3">
        <v>566</v>
      </c>
      <c r="B572" s="9">
        <f t="shared" si="33"/>
        <v>0.99741367109692769</v>
      </c>
      <c r="C572" s="3">
        <f t="shared" si="34"/>
        <v>4430112.5615441138</v>
      </c>
      <c r="D572" s="3">
        <f t="shared" si="35"/>
        <v>54.880415065214038</v>
      </c>
      <c r="E572" s="8">
        <f t="shared" si="32"/>
        <v>80.857142857142861</v>
      </c>
      <c r="F572" s="3"/>
      <c r="G572" s="3"/>
      <c r="H572" s="3"/>
    </row>
    <row r="573" spans="1:8" ht="18.5" x14ac:dyDescent="0.45">
      <c r="A573" s="3">
        <v>567</v>
      </c>
      <c r="B573" s="9">
        <f t="shared" si="33"/>
        <v>0.99742595231508624</v>
      </c>
      <c r="C573" s="3">
        <f t="shared" si="34"/>
        <v>4430167.1098026866</v>
      </c>
      <c r="D573" s="3">
        <f t="shared" si="35"/>
        <v>54.548258572816849</v>
      </c>
      <c r="E573" s="8">
        <f t="shared" si="32"/>
        <v>81</v>
      </c>
      <c r="F573" s="3"/>
      <c r="G573" s="3"/>
      <c r="H573" s="3"/>
    </row>
    <row r="574" spans="1:8" ht="18.5" x14ac:dyDescent="0.45">
      <c r="A574" s="3">
        <v>568</v>
      </c>
      <c r="B574" s="9">
        <f t="shared" si="33"/>
        <v>0.99743815930463842</v>
      </c>
      <c r="C574" s="3">
        <f t="shared" si="34"/>
        <v>4430221.3283674819</v>
      </c>
      <c r="D574" s="3">
        <f t="shared" si="35"/>
        <v>54.218564795330167</v>
      </c>
      <c r="E574" s="8">
        <f t="shared" si="32"/>
        <v>81.142857142857139</v>
      </c>
      <c r="F574" s="3"/>
      <c r="G574" s="3"/>
      <c r="H574" s="3"/>
    </row>
    <row r="575" spans="1:8" ht="18.5" x14ac:dyDescent="0.45">
      <c r="A575" s="3">
        <v>569</v>
      </c>
      <c r="B575" s="9">
        <f t="shared" si="33"/>
        <v>0.99745029261515739</v>
      </c>
      <c r="C575" s="3">
        <f t="shared" si="34"/>
        <v>4430275.2196794832</v>
      </c>
      <c r="D575" s="3">
        <f t="shared" si="35"/>
        <v>53.891312001273036</v>
      </c>
      <c r="E575" s="8">
        <f t="shared" si="32"/>
        <v>81.285714285714292</v>
      </c>
      <c r="F575" s="3"/>
      <c r="G575" s="3"/>
      <c r="H575" s="3"/>
    </row>
    <row r="576" spans="1:8" ht="18.5" x14ac:dyDescent="0.45">
      <c r="A576" s="3">
        <v>570</v>
      </c>
      <c r="B576" s="9">
        <f t="shared" si="33"/>
        <v>0.99746235279137474</v>
      </c>
      <c r="C576" s="3">
        <f t="shared" si="34"/>
        <v>4430328.7861581696</v>
      </c>
      <c r="D576" s="3">
        <f t="shared" si="35"/>
        <v>53.566478686407208</v>
      </c>
      <c r="E576" s="8">
        <f t="shared" si="32"/>
        <v>81.428571428571431</v>
      </c>
      <c r="F576" s="3"/>
      <c r="G576" s="3"/>
      <c r="H576" s="3"/>
    </row>
    <row r="577" spans="1:8" ht="18.5" x14ac:dyDescent="0.45">
      <c r="A577" s="3">
        <v>571</v>
      </c>
      <c r="B577" s="9">
        <f t="shared" si="33"/>
        <v>0.99747434037322946</v>
      </c>
      <c r="C577" s="3">
        <f t="shared" si="34"/>
        <v>4430382.0302017359</v>
      </c>
      <c r="D577" s="3">
        <f t="shared" si="35"/>
        <v>53.244043566286564</v>
      </c>
      <c r="E577" s="8">
        <f t="shared" si="32"/>
        <v>81.571428571428569</v>
      </c>
      <c r="F577" s="3"/>
      <c r="G577" s="3"/>
      <c r="H577" s="3"/>
    </row>
    <row r="578" spans="1:8" ht="18.5" x14ac:dyDescent="0.45">
      <c r="A578" s="3">
        <v>572</v>
      </c>
      <c r="B578" s="9">
        <f t="shared" si="33"/>
        <v>0.99748625589591722</v>
      </c>
      <c r="C578" s="3">
        <f t="shared" si="34"/>
        <v>4430434.9541873056</v>
      </c>
      <c r="D578" s="3">
        <f t="shared" si="35"/>
        <v>52.923985569737852</v>
      </c>
      <c r="E578" s="8">
        <f t="shared" si="32"/>
        <v>81.714285714285708</v>
      </c>
      <c r="F578" s="3"/>
      <c r="G578" s="3"/>
      <c r="H578" s="3"/>
    </row>
    <row r="579" spans="1:8" ht="18.5" x14ac:dyDescent="0.45">
      <c r="A579" s="3">
        <v>573</v>
      </c>
      <c r="B579" s="9">
        <f t="shared" si="33"/>
        <v>0.9974980998899392</v>
      </c>
      <c r="C579" s="3">
        <f t="shared" si="34"/>
        <v>4430487.5604711538</v>
      </c>
      <c r="D579" s="3">
        <f t="shared" si="35"/>
        <v>52.606283848173916</v>
      </c>
      <c r="E579" s="8">
        <f t="shared" si="32"/>
        <v>81.857142857142861</v>
      </c>
      <c r="F579" s="3"/>
      <c r="G579" s="3"/>
      <c r="H579" s="3"/>
    </row>
    <row r="580" spans="1:8" ht="18.5" x14ac:dyDescent="0.45">
      <c r="A580" s="3">
        <v>574</v>
      </c>
      <c r="B580" s="9">
        <f t="shared" si="33"/>
        <v>0.99750987288114923</v>
      </c>
      <c r="C580" s="3">
        <f t="shared" si="34"/>
        <v>4430539.8513889126</v>
      </c>
      <c r="D580" s="3">
        <f t="shared" si="35"/>
        <v>52.290917758829892</v>
      </c>
      <c r="E580" s="8">
        <f t="shared" si="32"/>
        <v>82</v>
      </c>
      <c r="F580" s="3"/>
      <c r="G580" s="3"/>
      <c r="H580" s="3"/>
    </row>
    <row r="581" spans="1:8" ht="18.5" x14ac:dyDescent="0.45">
      <c r="A581" s="3">
        <v>575</v>
      </c>
      <c r="B581" s="9">
        <f t="shared" si="33"/>
        <v>0.99752157539080211</v>
      </c>
      <c r="C581" s="3">
        <f t="shared" si="34"/>
        <v>4430591.8292557867</v>
      </c>
      <c r="D581" s="3">
        <f t="shared" si="35"/>
        <v>51.977866874076426</v>
      </c>
      <c r="E581" s="8">
        <f t="shared" si="32"/>
        <v>82.142857142857139</v>
      </c>
      <c r="F581" s="3"/>
      <c r="G581" s="3"/>
      <c r="H581" s="3"/>
    </row>
    <row r="582" spans="1:8" ht="18.5" x14ac:dyDescent="0.45">
      <c r="A582" s="3">
        <v>576</v>
      </c>
      <c r="B582" s="9">
        <f t="shared" si="33"/>
        <v>0.99753320793559952</v>
      </c>
      <c r="C582" s="3">
        <f t="shared" si="34"/>
        <v>4430643.4963667588</v>
      </c>
      <c r="D582" s="3">
        <f t="shared" si="35"/>
        <v>51.667110972106457</v>
      </c>
      <c r="E582" s="8">
        <f t="shared" si="32"/>
        <v>82.285714285714292</v>
      </c>
      <c r="F582" s="3"/>
      <c r="G582" s="3"/>
      <c r="H582" s="3"/>
    </row>
    <row r="583" spans="1:8" ht="18.5" x14ac:dyDescent="0.45">
      <c r="A583" s="3">
        <v>577</v>
      </c>
      <c r="B583" s="9">
        <f t="shared" si="33"/>
        <v>0.99754477102773698</v>
      </c>
      <c r="C583" s="3">
        <f t="shared" si="34"/>
        <v>4430694.8549967967</v>
      </c>
      <c r="D583" s="3">
        <f t="shared" si="35"/>
        <v>51.358630037866533</v>
      </c>
      <c r="E583" s="8">
        <f t="shared" ref="E583:E646" si="36">A583/7</f>
        <v>82.428571428571431</v>
      </c>
      <c r="F583" s="3"/>
      <c r="G583" s="3"/>
      <c r="H583" s="3"/>
    </row>
    <row r="584" spans="1:8" ht="18.5" x14ac:dyDescent="0.45">
      <c r="A584" s="3">
        <v>578</v>
      </c>
      <c r="B584" s="9">
        <f t="shared" ref="B584:B647" si="37">LOGNORMDIST(A584,$A$3,$B$3)</f>
        <v>0.99755626517494911</v>
      </c>
      <c r="C584" s="3">
        <f t="shared" ref="C584:C647" si="38">$E$3*B584</f>
        <v>4430745.9074010542</v>
      </c>
      <c r="D584" s="3">
        <f t="shared" ref="D584:D647" si="39">C584-C583</f>
        <v>51.052404257468879</v>
      </c>
      <c r="E584" s="8">
        <f t="shared" si="36"/>
        <v>82.571428571428569</v>
      </c>
      <c r="F584" s="3"/>
      <c r="G584" s="3"/>
      <c r="H584" s="3"/>
    </row>
    <row r="585" spans="1:8" ht="18.5" x14ac:dyDescent="0.45">
      <c r="A585" s="3">
        <v>579</v>
      </c>
      <c r="B585" s="9">
        <f t="shared" si="37"/>
        <v>0.99756769088055508</v>
      </c>
      <c r="C585" s="3">
        <f t="shared" si="38"/>
        <v>4430796.6558150733</v>
      </c>
      <c r="D585" s="3">
        <f t="shared" si="39"/>
        <v>50.74841401912272</v>
      </c>
      <c r="E585" s="8">
        <f t="shared" si="36"/>
        <v>82.714285714285708</v>
      </c>
      <c r="F585" s="3"/>
      <c r="G585" s="3"/>
      <c r="H585" s="3"/>
    </row>
    <row r="586" spans="1:8" ht="18.5" x14ac:dyDescent="0.45">
      <c r="A586" s="3">
        <v>580</v>
      </c>
      <c r="B586" s="9">
        <f t="shared" si="37"/>
        <v>0.99757904864350322</v>
      </c>
      <c r="C586" s="3">
        <f t="shared" si="38"/>
        <v>4430847.1024549836</v>
      </c>
      <c r="D586" s="3">
        <f t="shared" si="39"/>
        <v>50.446639910340309</v>
      </c>
      <c r="E586" s="8">
        <f t="shared" si="36"/>
        <v>82.857142857142861</v>
      </c>
      <c r="F586" s="3"/>
      <c r="G586" s="3"/>
      <c r="H586" s="3"/>
    </row>
    <row r="587" spans="1:8" ht="18.5" x14ac:dyDescent="0.45">
      <c r="A587" s="3">
        <v>581</v>
      </c>
      <c r="B587" s="9">
        <f t="shared" si="37"/>
        <v>0.99759033895841487</v>
      </c>
      <c r="C587" s="3">
        <f t="shared" si="38"/>
        <v>4430897.249517695</v>
      </c>
      <c r="D587" s="3">
        <f t="shared" si="39"/>
        <v>50.147062711417675</v>
      </c>
      <c r="E587" s="8">
        <f t="shared" si="36"/>
        <v>83</v>
      </c>
      <c r="F587" s="3"/>
      <c r="G587" s="3"/>
      <c r="H587" s="3"/>
    </row>
    <row r="588" spans="1:8" ht="18.5" x14ac:dyDescent="0.45">
      <c r="A588" s="3">
        <v>582</v>
      </c>
      <c r="B588" s="9">
        <f t="shared" si="37"/>
        <v>0.99760156231562891</v>
      </c>
      <c r="C588" s="3">
        <f t="shared" si="38"/>
        <v>4430947.099181097</v>
      </c>
      <c r="D588" s="3">
        <f t="shared" si="39"/>
        <v>49.849663401953876</v>
      </c>
      <c r="E588" s="8">
        <f t="shared" si="36"/>
        <v>83.142857142857139</v>
      </c>
      <c r="F588" s="3"/>
      <c r="G588" s="3"/>
      <c r="H588" s="3"/>
    </row>
    <row r="589" spans="1:8" ht="18.5" x14ac:dyDescent="0.45">
      <c r="A589" s="3">
        <v>583</v>
      </c>
      <c r="B589" s="9">
        <f t="shared" si="37"/>
        <v>0.99761271920124361</v>
      </c>
      <c r="C589" s="3">
        <f t="shared" si="38"/>
        <v>4430996.6536042439</v>
      </c>
      <c r="D589" s="3">
        <f t="shared" si="39"/>
        <v>49.554423146881163</v>
      </c>
      <c r="E589" s="8">
        <f t="shared" si="36"/>
        <v>83.285714285714292</v>
      </c>
      <c r="F589" s="3"/>
      <c r="G589" s="3"/>
      <c r="H589" s="3"/>
    </row>
    <row r="590" spans="1:8" ht="18.5" x14ac:dyDescent="0.45">
      <c r="A590" s="3">
        <v>584</v>
      </c>
      <c r="B590" s="9">
        <f t="shared" si="37"/>
        <v>0.99762381009716039</v>
      </c>
      <c r="C590" s="3">
        <f t="shared" si="38"/>
        <v>4431045.9149275478</v>
      </c>
      <c r="D590" s="3">
        <f t="shared" si="39"/>
        <v>49.26132330391556</v>
      </c>
      <c r="E590" s="8">
        <f t="shared" si="36"/>
        <v>83.428571428571431</v>
      </c>
      <c r="F590" s="3"/>
      <c r="G590" s="3"/>
      <c r="H590" s="3"/>
    </row>
    <row r="591" spans="1:8" ht="18.5" x14ac:dyDescent="0.45">
      <c r="A591" s="3">
        <v>585</v>
      </c>
      <c r="B591" s="9">
        <f t="shared" si="37"/>
        <v>0.99763483548112541</v>
      </c>
      <c r="C591" s="3">
        <f t="shared" si="38"/>
        <v>4431094.8852729667</v>
      </c>
      <c r="D591" s="3">
        <f t="shared" si="39"/>
        <v>48.970345418900251</v>
      </c>
      <c r="E591" s="8">
        <f t="shared" si="36"/>
        <v>83.571428571428569</v>
      </c>
      <c r="F591" s="3"/>
      <c r="G591" s="3"/>
      <c r="H591" s="3"/>
    </row>
    <row r="592" spans="1:8" ht="18.5" x14ac:dyDescent="0.45">
      <c r="A592" s="3">
        <v>586</v>
      </c>
      <c r="B592" s="9">
        <f t="shared" si="37"/>
        <v>0.99764579582677149</v>
      </c>
      <c r="C592" s="3">
        <f t="shared" si="38"/>
        <v>4431143.5667441878</v>
      </c>
      <c r="D592" s="3">
        <f t="shared" si="39"/>
        <v>48.681471221148968</v>
      </c>
      <c r="E592" s="8">
        <f t="shared" si="36"/>
        <v>83.714285714285708</v>
      </c>
      <c r="F592" s="3"/>
      <c r="G592" s="3"/>
      <c r="H592" s="3"/>
    </row>
    <row r="593" spans="1:8" ht="18.5" x14ac:dyDescent="0.45">
      <c r="A593" s="3">
        <v>587</v>
      </c>
      <c r="B593" s="9">
        <f t="shared" si="37"/>
        <v>0.997656691603659</v>
      </c>
      <c r="C593" s="3">
        <f t="shared" si="38"/>
        <v>4431191.9614268122</v>
      </c>
      <c r="D593" s="3">
        <f t="shared" si="39"/>
        <v>48.39468262437731</v>
      </c>
      <c r="E593" s="8">
        <f t="shared" si="36"/>
        <v>83.857142857142861</v>
      </c>
      <c r="F593" s="3"/>
      <c r="G593" s="3"/>
      <c r="H593" s="3"/>
    </row>
    <row r="594" spans="1:8" ht="18.5" x14ac:dyDescent="0.45">
      <c r="A594" s="3">
        <v>588</v>
      </c>
      <c r="B594" s="9">
        <f t="shared" si="37"/>
        <v>0.99766752327731689</v>
      </c>
      <c r="C594" s="3">
        <f t="shared" si="38"/>
        <v>4431240.0713885305</v>
      </c>
      <c r="D594" s="3">
        <f t="shared" si="39"/>
        <v>48.109961718320847</v>
      </c>
      <c r="E594" s="8">
        <f t="shared" si="36"/>
        <v>84</v>
      </c>
      <c r="F594" s="3"/>
      <c r="G594" s="3"/>
      <c r="H594" s="3"/>
    </row>
    <row r="595" spans="1:8" ht="18.5" x14ac:dyDescent="0.45">
      <c r="A595" s="3">
        <v>589</v>
      </c>
      <c r="B595" s="9">
        <f t="shared" si="37"/>
        <v>0.99767829130928287</v>
      </c>
      <c r="C595" s="3">
        <f t="shared" si="38"/>
        <v>4431287.8986793105</v>
      </c>
      <c r="D595" s="3">
        <f t="shared" si="39"/>
        <v>47.827290779910982</v>
      </c>
      <c r="E595" s="8">
        <f t="shared" si="36"/>
        <v>84.142857142857139</v>
      </c>
      <c r="F595" s="3"/>
      <c r="G595" s="3"/>
      <c r="H595" s="3"/>
    </row>
    <row r="596" spans="1:8" ht="18.5" x14ac:dyDescent="0.45">
      <c r="A596" s="3">
        <v>590</v>
      </c>
      <c r="B596" s="9">
        <f t="shared" si="37"/>
        <v>0.99768899615714313</v>
      </c>
      <c r="C596" s="3">
        <f t="shared" si="38"/>
        <v>4431335.445331567</v>
      </c>
      <c r="D596" s="3">
        <f t="shared" si="39"/>
        <v>47.546652256511152</v>
      </c>
      <c r="E596" s="8">
        <f t="shared" si="36"/>
        <v>84.285714285714292</v>
      </c>
      <c r="F596" s="3"/>
      <c r="G596" s="3"/>
      <c r="H596" s="3"/>
    </row>
    <row r="597" spans="1:8" ht="18.5" x14ac:dyDescent="0.45">
      <c r="A597" s="3">
        <v>591</v>
      </c>
      <c r="B597" s="9">
        <f t="shared" si="37"/>
        <v>0.99769963827457164</v>
      </c>
      <c r="C597" s="3">
        <f t="shared" si="38"/>
        <v>4431382.7133603375</v>
      </c>
      <c r="D597" s="3">
        <f t="shared" si="39"/>
        <v>47.268028770573437</v>
      </c>
      <c r="E597" s="8">
        <f t="shared" si="36"/>
        <v>84.428571428571431</v>
      </c>
      <c r="F597" s="3"/>
      <c r="G597" s="3"/>
      <c r="H597" s="3"/>
    </row>
    <row r="598" spans="1:8" ht="18.5" x14ac:dyDescent="0.45">
      <c r="A598" s="3">
        <v>592</v>
      </c>
      <c r="B598" s="9">
        <f t="shared" si="37"/>
        <v>0.99771021811136917</v>
      </c>
      <c r="C598" s="3">
        <f t="shared" si="38"/>
        <v>4431429.7047634572</v>
      </c>
      <c r="D598" s="3">
        <f t="shared" si="39"/>
        <v>46.991403119638562</v>
      </c>
      <c r="E598" s="8">
        <f t="shared" si="36"/>
        <v>84.571428571428569</v>
      </c>
      <c r="F598" s="3"/>
      <c r="G598" s="3"/>
      <c r="H598" s="3"/>
    </row>
    <row r="599" spans="1:8" ht="18.5" x14ac:dyDescent="0.45">
      <c r="A599" s="3">
        <v>593</v>
      </c>
      <c r="B599" s="9">
        <f t="shared" si="37"/>
        <v>0.99772073611350187</v>
      </c>
      <c r="C599" s="3">
        <f t="shared" si="38"/>
        <v>4431476.4215217298</v>
      </c>
      <c r="D599" s="3">
        <f t="shared" si="39"/>
        <v>46.716758272610605</v>
      </c>
      <c r="E599" s="8">
        <f t="shared" si="36"/>
        <v>84.714285714285708</v>
      </c>
      <c r="F599" s="3"/>
      <c r="G599" s="3"/>
      <c r="H599" s="3"/>
    </row>
    <row r="600" spans="1:8" ht="18.5" x14ac:dyDescent="0.45">
      <c r="A600" s="3">
        <v>594</v>
      </c>
      <c r="B600" s="9">
        <f t="shared" si="37"/>
        <v>0.99773119272313882</v>
      </c>
      <c r="C600" s="3">
        <f t="shared" si="38"/>
        <v>4431522.865599093</v>
      </c>
      <c r="D600" s="3">
        <f t="shared" si="39"/>
        <v>46.444077363237739</v>
      </c>
      <c r="E600" s="8">
        <f t="shared" si="36"/>
        <v>84.857142857142861</v>
      </c>
      <c r="F600" s="3"/>
      <c r="G600" s="3"/>
      <c r="H600" s="3"/>
    </row>
    <row r="601" spans="1:8" ht="18.5" x14ac:dyDescent="0.45">
      <c r="A601" s="3">
        <v>595</v>
      </c>
      <c r="B601" s="9">
        <f t="shared" si="37"/>
        <v>0.99774158837869009</v>
      </c>
      <c r="C601" s="3">
        <f t="shared" si="38"/>
        <v>4431569.0389427897</v>
      </c>
      <c r="D601" s="3">
        <f t="shared" si="39"/>
        <v>46.173343696631491</v>
      </c>
      <c r="E601" s="8">
        <f t="shared" si="36"/>
        <v>85</v>
      </c>
      <c r="F601" s="3"/>
      <c r="G601" s="3"/>
      <c r="H601" s="3"/>
    </row>
    <row r="602" spans="1:8" ht="18.5" x14ac:dyDescent="0.45">
      <c r="A602" s="3">
        <v>596</v>
      </c>
      <c r="B602" s="9">
        <f t="shared" si="37"/>
        <v>0.99775192351484376</v>
      </c>
      <c r="C602" s="3">
        <f t="shared" si="38"/>
        <v>4431614.9434835296</v>
      </c>
      <c r="D602" s="3">
        <f t="shared" si="39"/>
        <v>45.904540739953518</v>
      </c>
      <c r="E602" s="8">
        <f t="shared" si="36"/>
        <v>85.142857142857139</v>
      </c>
      <c r="F602" s="3"/>
      <c r="G602" s="3"/>
      <c r="H602" s="3"/>
    </row>
    <row r="603" spans="1:8" ht="18.5" x14ac:dyDescent="0.45">
      <c r="A603" s="3">
        <v>597</v>
      </c>
      <c r="B603" s="9">
        <f t="shared" si="37"/>
        <v>0.99776219856260262</v>
      </c>
      <c r="C603" s="3">
        <f t="shared" si="38"/>
        <v>4431660.5811356558</v>
      </c>
      <c r="D603" s="3">
        <f t="shared" si="39"/>
        <v>45.637652126140893</v>
      </c>
      <c r="E603" s="8">
        <f t="shared" si="36"/>
        <v>85.285714285714292</v>
      </c>
      <c r="F603" s="3"/>
      <c r="G603" s="3"/>
      <c r="H603" s="3"/>
    </row>
    <row r="604" spans="1:8" ht="18.5" x14ac:dyDescent="0.45">
      <c r="A604" s="3">
        <v>598</v>
      </c>
      <c r="B604" s="9">
        <f t="shared" si="37"/>
        <v>0.99777241394932037</v>
      </c>
      <c r="C604" s="3">
        <f t="shared" si="38"/>
        <v>4431705.9537973013</v>
      </c>
      <c r="D604" s="3">
        <f t="shared" si="39"/>
        <v>45.372661645524204</v>
      </c>
      <c r="E604" s="8">
        <f t="shared" si="36"/>
        <v>85.428571428571431</v>
      </c>
      <c r="F604" s="3"/>
      <c r="G604" s="3"/>
      <c r="H604" s="3"/>
    </row>
    <row r="605" spans="1:8" ht="18.5" x14ac:dyDescent="0.45">
      <c r="A605" s="3">
        <v>599</v>
      </c>
      <c r="B605" s="9">
        <f t="shared" si="37"/>
        <v>0.99778257009873783</v>
      </c>
      <c r="C605" s="3">
        <f t="shared" si="38"/>
        <v>4431751.0633505536</v>
      </c>
      <c r="D605" s="3">
        <f t="shared" si="39"/>
        <v>45.109553252346814</v>
      </c>
      <c r="E605" s="8">
        <f t="shared" si="36"/>
        <v>85.571428571428569</v>
      </c>
      <c r="F605" s="3"/>
      <c r="G605" s="3"/>
      <c r="H605" s="3"/>
    </row>
    <row r="606" spans="1:8" ht="18.5" x14ac:dyDescent="0.45">
      <c r="A606" s="3">
        <v>600</v>
      </c>
      <c r="B606" s="9">
        <f t="shared" si="37"/>
        <v>0.99779266743101824</v>
      </c>
      <c r="C606" s="3">
        <f t="shared" si="38"/>
        <v>4431795.9116616109</v>
      </c>
      <c r="D606" s="3">
        <f t="shared" si="39"/>
        <v>44.848311057314277</v>
      </c>
      <c r="E606" s="8">
        <f t="shared" si="36"/>
        <v>85.714285714285708</v>
      </c>
      <c r="F606" s="3"/>
      <c r="G606" s="3"/>
      <c r="H606" s="3"/>
    </row>
    <row r="607" spans="1:8" ht="18.5" x14ac:dyDescent="0.45">
      <c r="A607" s="3">
        <v>601</v>
      </c>
      <c r="B607" s="9">
        <f t="shared" si="37"/>
        <v>0.99780270636278245</v>
      </c>
      <c r="C607" s="3">
        <f t="shared" si="38"/>
        <v>4431840.5005809348</v>
      </c>
      <c r="D607" s="3">
        <f t="shared" si="39"/>
        <v>44.58891932386905</v>
      </c>
      <c r="E607" s="8">
        <f t="shared" si="36"/>
        <v>85.857142857142861</v>
      </c>
      <c r="F607" s="3"/>
      <c r="G607" s="3"/>
      <c r="H607" s="3"/>
    </row>
    <row r="608" spans="1:8" ht="18.5" x14ac:dyDescent="0.45">
      <c r="A608" s="3">
        <v>602</v>
      </c>
      <c r="B608" s="9">
        <f t="shared" si="37"/>
        <v>0.99781268730714368</v>
      </c>
      <c r="C608" s="3">
        <f t="shared" si="38"/>
        <v>4431884.8319434095</v>
      </c>
      <c r="D608" s="3">
        <f t="shared" si="39"/>
        <v>44.331362474709749</v>
      </c>
      <c r="E608" s="8">
        <f t="shared" si="36"/>
        <v>86</v>
      </c>
      <c r="F608" s="3"/>
      <c r="G608" s="3"/>
      <c r="H608" s="3"/>
    </row>
    <row r="609" spans="1:8" ht="18.5" x14ac:dyDescent="0.45">
      <c r="A609" s="3">
        <v>603</v>
      </c>
      <c r="B609" s="9">
        <f t="shared" si="37"/>
        <v>0.99782261067374167</v>
      </c>
      <c r="C609" s="3">
        <f t="shared" si="38"/>
        <v>4431928.9075684911</v>
      </c>
      <c r="D609" s="3">
        <f t="shared" si="39"/>
        <v>44.075625081546605</v>
      </c>
      <c r="E609" s="8">
        <f t="shared" si="36"/>
        <v>86.142857142857139</v>
      </c>
      <c r="F609" s="3"/>
      <c r="G609" s="3"/>
      <c r="H609" s="3"/>
    </row>
    <row r="610" spans="1:8" ht="18.5" x14ac:dyDescent="0.45">
      <c r="A610" s="3">
        <v>604</v>
      </c>
      <c r="B610" s="9">
        <f t="shared" si="37"/>
        <v>0.99783247686877696</v>
      </c>
      <c r="C610" s="3">
        <f t="shared" si="38"/>
        <v>4431972.7292603599</v>
      </c>
      <c r="D610" s="3">
        <f t="shared" si="39"/>
        <v>43.821691868826747</v>
      </c>
      <c r="E610" s="8">
        <f t="shared" si="36"/>
        <v>86.285714285714292</v>
      </c>
      <c r="F610" s="3"/>
      <c r="G610" s="3"/>
      <c r="H610" s="3"/>
    </row>
    <row r="611" spans="1:8" ht="18.5" x14ac:dyDescent="0.45">
      <c r="A611" s="3">
        <v>605</v>
      </c>
      <c r="B611" s="9">
        <f t="shared" si="37"/>
        <v>0.99784228629504412</v>
      </c>
      <c r="C611" s="3">
        <f t="shared" si="38"/>
        <v>4432016.298808068</v>
      </c>
      <c r="D611" s="3">
        <f t="shared" si="39"/>
        <v>43.569547708146274</v>
      </c>
      <c r="E611" s="8">
        <f t="shared" si="36"/>
        <v>86.428571428571431</v>
      </c>
      <c r="F611" s="3"/>
      <c r="G611" s="3"/>
      <c r="H611" s="3"/>
    </row>
    <row r="612" spans="1:8" ht="18.5" x14ac:dyDescent="0.45">
      <c r="A612" s="3">
        <v>606</v>
      </c>
      <c r="B612" s="9">
        <f t="shared" si="37"/>
        <v>0.99785203935196498</v>
      </c>
      <c r="C612" s="3">
        <f t="shared" si="38"/>
        <v>4432059.6179856872</v>
      </c>
      <c r="D612" s="3">
        <f t="shared" si="39"/>
        <v>43.319177619181573</v>
      </c>
      <c r="E612" s="8">
        <f t="shared" si="36"/>
        <v>86.571428571428569</v>
      </c>
      <c r="F612" s="3"/>
      <c r="G612" s="3"/>
      <c r="H612" s="3"/>
    </row>
    <row r="613" spans="1:8" ht="18.5" x14ac:dyDescent="0.45">
      <c r="A613" s="3">
        <v>607</v>
      </c>
      <c r="B613" s="9">
        <f t="shared" si="37"/>
        <v>0.99786173643562204</v>
      </c>
      <c r="C613" s="3">
        <f t="shared" si="38"/>
        <v>4432102.6885524588</v>
      </c>
      <c r="D613" s="3">
        <f t="shared" si="39"/>
        <v>43.070566771551967</v>
      </c>
      <c r="E613" s="8">
        <f t="shared" si="36"/>
        <v>86.714285714285708</v>
      </c>
      <c r="F613" s="3"/>
      <c r="G613" s="3"/>
      <c r="H613" s="3"/>
    </row>
    <row r="614" spans="1:8" ht="18.5" x14ac:dyDescent="0.45">
      <c r="A614" s="3">
        <v>608</v>
      </c>
      <c r="B614" s="9">
        <f t="shared" si="37"/>
        <v>0.99787137793878977</v>
      </c>
      <c r="C614" s="3">
        <f t="shared" si="38"/>
        <v>4432145.5122529287</v>
      </c>
      <c r="D614" s="3">
        <f t="shared" si="39"/>
        <v>42.823700469918549</v>
      </c>
      <c r="E614" s="8">
        <f t="shared" si="36"/>
        <v>86.857142857142861</v>
      </c>
      <c r="F614" s="3"/>
      <c r="G614" s="3"/>
      <c r="H614" s="3"/>
    </row>
    <row r="615" spans="1:8" ht="18.5" x14ac:dyDescent="0.45">
      <c r="A615" s="3">
        <v>609</v>
      </c>
      <c r="B615" s="9">
        <f t="shared" si="37"/>
        <v>0.99788096425096806</v>
      </c>
      <c r="C615" s="3">
        <f t="shared" si="38"/>
        <v>4432188.0908170994</v>
      </c>
      <c r="D615" s="3">
        <f t="shared" si="39"/>
        <v>42.578564170747995</v>
      </c>
      <c r="E615" s="8">
        <f t="shared" si="36"/>
        <v>87</v>
      </c>
      <c r="F615" s="3"/>
      <c r="G615" s="3"/>
      <c r="H615" s="3"/>
    </row>
    <row r="616" spans="1:8" ht="18.5" x14ac:dyDescent="0.45">
      <c r="A616" s="3">
        <v>610</v>
      </c>
      <c r="B616" s="9">
        <f t="shared" si="37"/>
        <v>0.99789049575841293</v>
      </c>
      <c r="C616" s="3">
        <f t="shared" si="38"/>
        <v>4432230.4259605668</v>
      </c>
      <c r="D616" s="3">
        <f t="shared" si="39"/>
        <v>42.335143467411399</v>
      </c>
      <c r="E616" s="8">
        <f t="shared" si="36"/>
        <v>87.142857142857139</v>
      </c>
      <c r="F616" s="3"/>
      <c r="G616" s="3"/>
      <c r="H616" s="3"/>
    </row>
    <row r="617" spans="1:8" ht="18.5" x14ac:dyDescent="0.45">
      <c r="A617" s="3">
        <v>611</v>
      </c>
      <c r="B617" s="9">
        <f t="shared" si="37"/>
        <v>0.99789997284416843</v>
      </c>
      <c r="C617" s="3">
        <f t="shared" si="38"/>
        <v>4432272.5193846589</v>
      </c>
      <c r="D617" s="3">
        <f t="shared" si="39"/>
        <v>42.093424092046916</v>
      </c>
      <c r="E617" s="8">
        <f t="shared" si="36"/>
        <v>87.285714285714292</v>
      </c>
      <c r="F617" s="3"/>
      <c r="G617" s="3"/>
      <c r="H617" s="3"/>
    </row>
    <row r="618" spans="1:8" ht="18.5" x14ac:dyDescent="0.45">
      <c r="A618" s="3">
        <v>612</v>
      </c>
      <c r="B618" s="9">
        <f t="shared" si="37"/>
        <v>0.99790939588809746</v>
      </c>
      <c r="C618" s="3">
        <f t="shared" si="38"/>
        <v>4432314.3727765735</v>
      </c>
      <c r="D618" s="3">
        <f t="shared" si="39"/>
        <v>41.853391914628446</v>
      </c>
      <c r="E618" s="8">
        <f t="shared" si="36"/>
        <v>87.428571428571431</v>
      </c>
      <c r="F618" s="3"/>
      <c r="G618" s="3"/>
      <c r="H618" s="3"/>
    </row>
    <row r="619" spans="1:8" ht="18.5" x14ac:dyDescent="0.45">
      <c r="A619" s="3">
        <v>613</v>
      </c>
      <c r="B619" s="9">
        <f t="shared" si="37"/>
        <v>0.99791876526691259</v>
      </c>
      <c r="C619" s="3">
        <f t="shared" si="38"/>
        <v>4432355.9878095193</v>
      </c>
      <c r="D619" s="3">
        <f t="shared" si="39"/>
        <v>41.615032945759594</v>
      </c>
      <c r="E619" s="8">
        <f t="shared" si="36"/>
        <v>87.571428571428569</v>
      </c>
      <c r="F619" s="3"/>
      <c r="G619" s="3"/>
      <c r="H619" s="3"/>
    </row>
    <row r="620" spans="1:8" ht="18.5" x14ac:dyDescent="0.45">
      <c r="A620" s="3">
        <v>614</v>
      </c>
      <c r="B620" s="9">
        <f t="shared" si="37"/>
        <v>0.99792808135420652</v>
      </c>
      <c r="C620" s="3">
        <f t="shared" si="38"/>
        <v>4432397.3661428438</v>
      </c>
      <c r="D620" s="3">
        <f t="shared" si="39"/>
        <v>41.378333324566483</v>
      </c>
      <c r="E620" s="8">
        <f t="shared" si="36"/>
        <v>87.714285714285708</v>
      </c>
      <c r="F620" s="3"/>
      <c r="G620" s="3"/>
      <c r="H620" s="3"/>
    </row>
    <row r="621" spans="1:8" ht="18.5" x14ac:dyDescent="0.45">
      <c r="A621" s="3">
        <v>615</v>
      </c>
      <c r="B621" s="9">
        <f t="shared" si="37"/>
        <v>0.99793734452048199</v>
      </c>
      <c r="C621" s="3">
        <f t="shared" si="38"/>
        <v>4432438.5094221728</v>
      </c>
      <c r="D621" s="3">
        <f t="shared" si="39"/>
        <v>41.143279328942299</v>
      </c>
      <c r="E621" s="8">
        <f t="shared" si="36"/>
        <v>87.857142857142861</v>
      </c>
      <c r="F621" s="3"/>
      <c r="G621" s="3"/>
      <c r="H621" s="3"/>
    </row>
    <row r="622" spans="1:8" ht="18.5" x14ac:dyDescent="0.45">
      <c r="A622" s="3">
        <v>616</v>
      </c>
      <c r="B622" s="9">
        <f t="shared" si="37"/>
        <v>0.99794655513318142</v>
      </c>
      <c r="C622" s="3">
        <f t="shared" si="38"/>
        <v>4432479.419279539</v>
      </c>
      <c r="D622" s="3">
        <f t="shared" si="39"/>
        <v>40.909857366234064</v>
      </c>
      <c r="E622" s="8">
        <f t="shared" si="36"/>
        <v>88</v>
      </c>
      <c r="F622" s="3"/>
      <c r="G622" s="3"/>
      <c r="H622" s="3"/>
    </row>
    <row r="623" spans="1:8" ht="18.5" x14ac:dyDescent="0.45">
      <c r="A623" s="3">
        <v>617</v>
      </c>
      <c r="B623" s="9">
        <f t="shared" si="37"/>
        <v>0.9979557135567162</v>
      </c>
      <c r="C623" s="3">
        <f t="shared" si="38"/>
        <v>4432520.0973335104</v>
      </c>
      <c r="D623" s="3">
        <f t="shared" si="39"/>
        <v>40.678053971379995</v>
      </c>
      <c r="E623" s="8">
        <f t="shared" si="36"/>
        <v>88.142857142857139</v>
      </c>
      <c r="F623" s="3"/>
      <c r="G623" s="3"/>
      <c r="H623" s="3"/>
    </row>
    <row r="624" spans="1:8" ht="18.5" x14ac:dyDescent="0.45">
      <c r="A624" s="3">
        <v>618</v>
      </c>
      <c r="B624" s="9">
        <f t="shared" si="37"/>
        <v>0.99796482015249632</v>
      </c>
      <c r="C624" s="3">
        <f t="shared" si="38"/>
        <v>4432560.5451893276</v>
      </c>
      <c r="D624" s="3">
        <f t="shared" si="39"/>
        <v>40.44785581715405</v>
      </c>
      <c r="E624" s="8">
        <f t="shared" si="36"/>
        <v>88.285714285714292</v>
      </c>
      <c r="F624" s="3"/>
      <c r="G624" s="3"/>
      <c r="H624" s="3"/>
    </row>
    <row r="625" spans="1:8" ht="18.5" x14ac:dyDescent="0.45">
      <c r="A625" s="3">
        <v>619</v>
      </c>
      <c r="B625" s="9">
        <f t="shared" si="37"/>
        <v>0.9979738752789582</v>
      </c>
      <c r="C625" s="3">
        <f t="shared" si="38"/>
        <v>4432600.7644390203</v>
      </c>
      <c r="D625" s="3">
        <f t="shared" si="39"/>
        <v>40.219249692745507</v>
      </c>
      <c r="E625" s="8">
        <f t="shared" si="36"/>
        <v>88.428571428571431</v>
      </c>
      <c r="F625" s="3"/>
      <c r="G625" s="3"/>
      <c r="H625" s="3"/>
    </row>
    <row r="626" spans="1:8" ht="18.5" x14ac:dyDescent="0.45">
      <c r="A626" s="3">
        <v>620</v>
      </c>
      <c r="B626" s="9">
        <f t="shared" si="37"/>
        <v>0.99798287929159402</v>
      </c>
      <c r="C626" s="3">
        <f t="shared" si="38"/>
        <v>4432640.7566615436</v>
      </c>
      <c r="D626" s="3">
        <f t="shared" si="39"/>
        <v>39.992222523316741</v>
      </c>
      <c r="E626" s="8">
        <f t="shared" si="36"/>
        <v>88.571428571428569</v>
      </c>
      <c r="F626" s="3"/>
      <c r="G626" s="3"/>
      <c r="H626" s="3"/>
    </row>
    <row r="627" spans="1:8" ht="18.5" x14ac:dyDescent="0.45">
      <c r="A627" s="3">
        <v>621</v>
      </c>
      <c r="B627" s="9">
        <f t="shared" si="37"/>
        <v>0.99799183254297918</v>
      </c>
      <c r="C627" s="3">
        <f t="shared" si="38"/>
        <v>4432680.5234228959</v>
      </c>
      <c r="D627" s="3">
        <f t="shared" si="39"/>
        <v>39.766761352308095</v>
      </c>
      <c r="E627" s="8">
        <f t="shared" si="36"/>
        <v>88.714285714285708</v>
      </c>
      <c r="F627" s="3"/>
      <c r="G627" s="3"/>
      <c r="H627" s="3"/>
    </row>
    <row r="628" spans="1:8" ht="18.5" x14ac:dyDescent="0.45">
      <c r="A628" s="3">
        <v>622</v>
      </c>
      <c r="B628" s="9">
        <f t="shared" si="37"/>
        <v>0.99800073538280021</v>
      </c>
      <c r="C628" s="3">
        <f t="shared" si="38"/>
        <v>4432720.0662762458</v>
      </c>
      <c r="D628" s="3">
        <f t="shared" si="39"/>
        <v>39.542853349819779</v>
      </c>
      <c r="E628" s="8">
        <f t="shared" si="36"/>
        <v>88.857142857142861</v>
      </c>
      <c r="F628" s="3"/>
      <c r="G628" s="3"/>
      <c r="H628" s="3"/>
    </row>
    <row r="629" spans="1:8" ht="18.5" x14ac:dyDescent="0.45">
      <c r="A629" s="3">
        <v>623</v>
      </c>
      <c r="B629" s="9">
        <f t="shared" si="37"/>
        <v>0.99800958815788277</v>
      </c>
      <c r="C629" s="3">
        <f t="shared" si="38"/>
        <v>4432759.3867620518</v>
      </c>
      <c r="D629" s="3">
        <f t="shared" si="39"/>
        <v>39.32048580609262</v>
      </c>
      <c r="E629" s="8">
        <f t="shared" si="36"/>
        <v>89</v>
      </c>
      <c r="F629" s="3"/>
      <c r="G629" s="3"/>
      <c r="H629" s="3"/>
    </row>
    <row r="630" spans="1:8" ht="18.5" x14ac:dyDescent="0.45">
      <c r="A630" s="3">
        <v>624</v>
      </c>
      <c r="B630" s="9">
        <f t="shared" si="37"/>
        <v>0.99801839121221803</v>
      </c>
      <c r="C630" s="3">
        <f t="shared" si="38"/>
        <v>4432798.486408188</v>
      </c>
      <c r="D630" s="3">
        <f t="shared" si="39"/>
        <v>39.099646136164665</v>
      </c>
      <c r="E630" s="8">
        <f t="shared" si="36"/>
        <v>89.142857142857139</v>
      </c>
      <c r="F630" s="3"/>
      <c r="G630" s="3"/>
      <c r="H630" s="3"/>
    </row>
    <row r="631" spans="1:8" ht="18.5" x14ac:dyDescent="0.45">
      <c r="A631" s="3">
        <v>625</v>
      </c>
      <c r="B631" s="9">
        <f t="shared" si="37"/>
        <v>0.9980271448869904</v>
      </c>
      <c r="C631" s="3">
        <f t="shared" si="38"/>
        <v>4432837.3667300567</v>
      </c>
      <c r="D631" s="3">
        <f t="shared" si="39"/>
        <v>38.880321868695319</v>
      </c>
      <c r="E631" s="8">
        <f t="shared" si="36"/>
        <v>89.285714285714292</v>
      </c>
      <c r="F631" s="3"/>
      <c r="G631" s="3"/>
      <c r="H631" s="3"/>
    </row>
    <row r="632" spans="1:8" ht="18.5" x14ac:dyDescent="0.45">
      <c r="A632" s="3">
        <v>626</v>
      </c>
      <c r="B632" s="9">
        <f t="shared" si="37"/>
        <v>0.99803584952060365</v>
      </c>
      <c r="C632" s="3">
        <f t="shared" si="38"/>
        <v>4432876.0292307129</v>
      </c>
      <c r="D632" s="3">
        <f t="shared" si="39"/>
        <v>38.662500656209886</v>
      </c>
      <c r="E632" s="8">
        <f t="shared" si="36"/>
        <v>89.428571428571431</v>
      </c>
      <c r="F632" s="3"/>
      <c r="G632" s="3"/>
      <c r="H632" s="3"/>
    </row>
    <row r="633" spans="1:8" ht="18.5" x14ac:dyDescent="0.45">
      <c r="A633" s="3">
        <v>627</v>
      </c>
      <c r="B633" s="9">
        <f t="shared" si="37"/>
        <v>0.99804450544870726</v>
      </c>
      <c r="C633" s="3">
        <f t="shared" si="38"/>
        <v>4432914.4754009778</v>
      </c>
      <c r="D633" s="3">
        <f t="shared" si="39"/>
        <v>38.446170264855027</v>
      </c>
      <c r="E633" s="8">
        <f t="shared" si="36"/>
        <v>89.571428571428569</v>
      </c>
      <c r="F633" s="3"/>
      <c r="G633" s="3"/>
      <c r="H633" s="3"/>
    </row>
    <row r="634" spans="1:8" ht="18.5" x14ac:dyDescent="0.45">
      <c r="A634" s="3">
        <v>628</v>
      </c>
      <c r="B634" s="9">
        <f t="shared" si="37"/>
        <v>0.99805311300422261</v>
      </c>
      <c r="C634" s="3">
        <f t="shared" si="38"/>
        <v>4432952.706719555</v>
      </c>
      <c r="D634" s="3">
        <f t="shared" si="39"/>
        <v>38.231318577192724</v>
      </c>
      <c r="E634" s="8">
        <f t="shared" si="36"/>
        <v>89.714285714285708</v>
      </c>
      <c r="F634" s="3"/>
      <c r="G634" s="3"/>
      <c r="H634" s="3"/>
    </row>
    <row r="635" spans="1:8" ht="18.5" x14ac:dyDescent="0.45">
      <c r="A635" s="3">
        <v>629</v>
      </c>
      <c r="B635" s="9">
        <f t="shared" si="37"/>
        <v>0.99806167251736866</v>
      </c>
      <c r="C635" s="3">
        <f t="shared" si="38"/>
        <v>4432990.7246531444</v>
      </c>
      <c r="D635" s="3">
        <f t="shared" si="39"/>
        <v>38.017933589406312</v>
      </c>
      <c r="E635" s="8">
        <f t="shared" si="36"/>
        <v>89.857142857142861</v>
      </c>
      <c r="F635" s="3"/>
      <c r="G635" s="3"/>
      <c r="H635" s="3"/>
    </row>
    <row r="636" spans="1:8" ht="18.5" x14ac:dyDescent="0.45">
      <c r="A636" s="3">
        <v>630</v>
      </c>
      <c r="B636" s="9">
        <f t="shared" si="37"/>
        <v>0.99807018431568761</v>
      </c>
      <c r="C636" s="3">
        <f t="shared" si="38"/>
        <v>4433028.5306565585</v>
      </c>
      <c r="D636" s="3">
        <f t="shared" si="39"/>
        <v>37.806003414094448</v>
      </c>
      <c r="E636" s="8">
        <f t="shared" si="36"/>
        <v>90</v>
      </c>
      <c r="F636" s="3"/>
      <c r="G636" s="3"/>
      <c r="H636" s="3"/>
    </row>
    <row r="637" spans="1:8" ht="18.5" x14ac:dyDescent="0.45">
      <c r="A637" s="3">
        <v>631</v>
      </c>
      <c r="B637" s="9">
        <f t="shared" si="37"/>
        <v>0.99807864872406982</v>
      </c>
      <c r="C637" s="3">
        <f t="shared" si="38"/>
        <v>4433066.1261728285</v>
      </c>
      <c r="D637" s="3">
        <f t="shared" si="39"/>
        <v>37.595516270026565</v>
      </c>
      <c r="E637" s="8">
        <f t="shared" si="36"/>
        <v>90.142857142857139</v>
      </c>
      <c r="F637" s="3"/>
      <c r="G637" s="3"/>
      <c r="H637" s="3"/>
    </row>
    <row r="638" spans="1:8" ht="18.5" x14ac:dyDescent="0.45">
      <c r="A638" s="3">
        <v>632</v>
      </c>
      <c r="B638" s="9">
        <f t="shared" si="37"/>
        <v>0.99808706606477882</v>
      </c>
      <c r="C638" s="3">
        <f t="shared" si="38"/>
        <v>4433103.5126333218</v>
      </c>
      <c r="D638" s="3">
        <f t="shared" si="39"/>
        <v>37.386460493318737</v>
      </c>
      <c r="E638" s="8">
        <f t="shared" si="36"/>
        <v>90.285714285714292</v>
      </c>
      <c r="F638" s="3"/>
      <c r="G638" s="3"/>
      <c r="H638" s="3"/>
    </row>
    <row r="639" spans="1:8" ht="18.5" x14ac:dyDescent="0.45">
      <c r="A639" s="3">
        <v>633</v>
      </c>
      <c r="B639" s="9">
        <f t="shared" si="37"/>
        <v>0.99809543665747635</v>
      </c>
      <c r="C639" s="3">
        <f t="shared" si="38"/>
        <v>4433140.6914578471</v>
      </c>
      <c r="D639" s="3">
        <f t="shared" si="39"/>
        <v>37.17882452532649</v>
      </c>
      <c r="E639" s="8">
        <f t="shared" si="36"/>
        <v>90.428571428571431</v>
      </c>
      <c r="F639" s="3"/>
      <c r="G639" s="3"/>
      <c r="H639" s="3"/>
    </row>
    <row r="640" spans="1:8" ht="18.5" x14ac:dyDescent="0.45">
      <c r="A640" s="3">
        <v>634</v>
      </c>
      <c r="B640" s="9">
        <f t="shared" si="37"/>
        <v>0.99810376081924623</v>
      </c>
      <c r="C640" s="3">
        <f t="shared" si="38"/>
        <v>4433177.6640547644</v>
      </c>
      <c r="D640" s="3">
        <f t="shared" si="39"/>
        <v>36.972596917301416</v>
      </c>
      <c r="E640" s="8">
        <f t="shared" si="36"/>
        <v>90.571428571428569</v>
      </c>
      <c r="F640" s="3"/>
      <c r="G640" s="3"/>
      <c r="H640" s="3"/>
    </row>
    <row r="641" spans="1:8" ht="18.5" x14ac:dyDescent="0.45">
      <c r="A641" s="3">
        <v>635</v>
      </c>
      <c r="B641" s="9">
        <f t="shared" si="37"/>
        <v>0.99811203886461874</v>
      </c>
      <c r="C641" s="3">
        <f t="shared" si="38"/>
        <v>4433214.4318210902</v>
      </c>
      <c r="D641" s="3">
        <f t="shared" si="39"/>
        <v>36.767766325734556</v>
      </c>
      <c r="E641" s="8">
        <f t="shared" si="36"/>
        <v>90.714285714285708</v>
      </c>
      <c r="F641" s="3"/>
      <c r="G641" s="3"/>
      <c r="H641" s="3"/>
    </row>
    <row r="642" spans="1:8" ht="18.5" x14ac:dyDescent="0.45">
      <c r="A642" s="3">
        <v>636</v>
      </c>
      <c r="B642" s="9">
        <f t="shared" si="37"/>
        <v>0.99812027110559454</v>
      </c>
      <c r="C642" s="3">
        <f t="shared" si="38"/>
        <v>4433250.996142609</v>
      </c>
      <c r="D642" s="3">
        <f t="shared" si="39"/>
        <v>36.564321518875659</v>
      </c>
      <c r="E642" s="8">
        <f t="shared" si="36"/>
        <v>90.857142857142861</v>
      </c>
      <c r="F642" s="3"/>
      <c r="G642" s="3"/>
      <c r="H642" s="3"/>
    </row>
    <row r="643" spans="1:8" ht="18.5" x14ac:dyDescent="0.45">
      <c r="A643" s="3">
        <v>637</v>
      </c>
      <c r="B643" s="9">
        <f t="shared" si="37"/>
        <v>0.99812845785166837</v>
      </c>
      <c r="C643" s="3">
        <f t="shared" si="38"/>
        <v>4433287.3583939699</v>
      </c>
      <c r="D643" s="3">
        <f t="shared" si="39"/>
        <v>36.3622513609007</v>
      </c>
      <c r="E643" s="8">
        <f t="shared" si="36"/>
        <v>91</v>
      </c>
      <c r="F643" s="3"/>
      <c r="G643" s="3"/>
      <c r="H643" s="3"/>
    </row>
    <row r="644" spans="1:8" ht="18.5" x14ac:dyDescent="0.45">
      <c r="A644" s="3">
        <v>638</v>
      </c>
      <c r="B644" s="9">
        <f t="shared" si="37"/>
        <v>0.99813659940985233</v>
      </c>
      <c r="C644" s="3">
        <f t="shared" si="38"/>
        <v>4433323.5199388005</v>
      </c>
      <c r="D644" s="3">
        <f t="shared" si="39"/>
        <v>36.161544830538332</v>
      </c>
      <c r="E644" s="8">
        <f t="shared" si="36"/>
        <v>91.142857142857139</v>
      </c>
      <c r="F644" s="3"/>
      <c r="G644" s="3"/>
      <c r="H644" s="3"/>
    </row>
    <row r="645" spans="1:8" ht="18.5" x14ac:dyDescent="0.45">
      <c r="A645" s="3">
        <v>639</v>
      </c>
      <c r="B645" s="9">
        <f t="shared" si="37"/>
        <v>0.9981446960846988</v>
      </c>
      <c r="C645" s="3">
        <f t="shared" si="38"/>
        <v>4433359.4821297983</v>
      </c>
      <c r="D645" s="3">
        <f t="shared" si="39"/>
        <v>35.96219099778682</v>
      </c>
      <c r="E645" s="8">
        <f t="shared" si="36"/>
        <v>91.285714285714292</v>
      </c>
      <c r="F645" s="3"/>
      <c r="G645" s="3"/>
      <c r="H645" s="3"/>
    </row>
    <row r="646" spans="1:8" ht="18.5" x14ac:dyDescent="0.45">
      <c r="A646" s="3">
        <v>640</v>
      </c>
      <c r="B646" s="9">
        <f t="shared" si="37"/>
        <v>0.99815274817832389</v>
      </c>
      <c r="C646" s="3">
        <f t="shared" si="38"/>
        <v>4433395.2463088436</v>
      </c>
      <c r="D646" s="3">
        <f t="shared" si="39"/>
        <v>35.764179045334458</v>
      </c>
      <c r="E646" s="8">
        <f t="shared" si="36"/>
        <v>91.428571428571431</v>
      </c>
      <c r="F646" s="3"/>
      <c r="G646" s="3"/>
      <c r="H646" s="3"/>
    </row>
    <row r="647" spans="1:8" ht="18.5" x14ac:dyDescent="0.45">
      <c r="A647" s="3">
        <v>641</v>
      </c>
      <c r="B647" s="9">
        <f t="shared" si="37"/>
        <v>0.9981607559904293</v>
      </c>
      <c r="C647" s="3">
        <f t="shared" si="38"/>
        <v>4433430.8138070907</v>
      </c>
      <c r="D647" s="3">
        <f t="shared" si="39"/>
        <v>35.567498247139156</v>
      </c>
      <c r="E647" s="8">
        <f t="shared" ref="E647:E710" si="40">A647/7</f>
        <v>91.571428571428569</v>
      </c>
      <c r="F647" s="3"/>
      <c r="G647" s="3"/>
      <c r="H647" s="3"/>
    </row>
    <row r="648" spans="1:8" ht="18.5" x14ac:dyDescent="0.45">
      <c r="A648" s="3">
        <v>642</v>
      </c>
      <c r="B648" s="9">
        <f t="shared" ref="B648:B711" si="41">LOGNORMDIST(A648,$A$3,$B$3)</f>
        <v>0.99816871981832545</v>
      </c>
      <c r="C648" s="3">
        <f t="shared" ref="C648:C711" si="42">$E$3*B648</f>
        <v>4433466.1859450741</v>
      </c>
      <c r="D648" s="3">
        <f t="shared" ref="D648:D711" si="43">C648-C647</f>
        <v>35.372137983329594</v>
      </c>
      <c r="E648" s="8">
        <f t="shared" si="40"/>
        <v>91.714285714285708</v>
      </c>
      <c r="F648" s="3"/>
      <c r="G648" s="3"/>
      <c r="H648" s="3"/>
    </row>
    <row r="649" spans="1:8" ht="18.5" x14ac:dyDescent="0.45">
      <c r="A649" s="3">
        <v>643</v>
      </c>
      <c r="B649" s="9">
        <f t="shared" si="41"/>
        <v>0.99817663995695338</v>
      </c>
      <c r="C649" s="3">
        <f t="shared" si="42"/>
        <v>4433501.364032804</v>
      </c>
      <c r="D649" s="3">
        <f t="shared" si="43"/>
        <v>35.17808772996068</v>
      </c>
      <c r="E649" s="8">
        <f t="shared" si="40"/>
        <v>91.857142857142861</v>
      </c>
      <c r="F649" s="3"/>
      <c r="G649" s="3"/>
      <c r="H649" s="3"/>
    </row>
    <row r="650" spans="1:8" ht="18.5" x14ac:dyDescent="0.45">
      <c r="A650" s="3">
        <v>644</v>
      </c>
      <c r="B650" s="9">
        <f t="shared" si="41"/>
        <v>0.9981845166989064</v>
      </c>
      <c r="C650" s="3">
        <f t="shared" si="42"/>
        <v>4433536.349369863</v>
      </c>
      <c r="D650" s="3">
        <f t="shared" si="43"/>
        <v>34.985337059013546</v>
      </c>
      <c r="E650" s="8">
        <f t="shared" si="40"/>
        <v>92</v>
      </c>
      <c r="F650" s="3"/>
      <c r="G650" s="3"/>
      <c r="H650" s="3"/>
    </row>
    <row r="651" spans="1:8" ht="18.5" x14ac:dyDescent="0.45">
      <c r="A651" s="3">
        <v>645</v>
      </c>
      <c r="B651" s="9">
        <f t="shared" si="41"/>
        <v>0.99819235033445219</v>
      </c>
      <c r="C651" s="3">
        <f t="shared" si="42"/>
        <v>4433571.1432455033</v>
      </c>
      <c r="D651" s="3">
        <f t="shared" si="43"/>
        <v>34.793875640258193</v>
      </c>
      <c r="E651" s="8">
        <f t="shared" si="40"/>
        <v>92.142857142857139</v>
      </c>
      <c r="F651" s="3"/>
      <c r="G651" s="3"/>
      <c r="H651" s="3"/>
    </row>
    <row r="652" spans="1:8" ht="18.5" x14ac:dyDescent="0.45">
      <c r="A652" s="3">
        <v>646</v>
      </c>
      <c r="B652" s="9">
        <f t="shared" si="41"/>
        <v>0.9982001411515542</v>
      </c>
      <c r="C652" s="3">
        <f t="shared" si="42"/>
        <v>4433605.7469387427</v>
      </c>
      <c r="D652" s="3">
        <f t="shared" si="43"/>
        <v>34.60369323939085</v>
      </c>
      <c r="E652" s="8">
        <f t="shared" si="40"/>
        <v>92.285714285714292</v>
      </c>
      <c r="F652" s="3"/>
      <c r="G652" s="3"/>
      <c r="H652" s="3"/>
    </row>
    <row r="653" spans="1:8" ht="18.5" x14ac:dyDescent="0.45">
      <c r="A653" s="3">
        <v>647</v>
      </c>
      <c r="B653" s="9">
        <f t="shared" si="41"/>
        <v>0.99820788943589256</v>
      </c>
      <c r="C653" s="3">
        <f t="shared" si="42"/>
        <v>4433640.1617184607</v>
      </c>
      <c r="D653" s="3">
        <f t="shared" si="43"/>
        <v>34.414779718033969</v>
      </c>
      <c r="E653" s="8">
        <f t="shared" si="40"/>
        <v>92.428571428571431</v>
      </c>
      <c r="F653" s="3"/>
      <c r="G653" s="3"/>
      <c r="H653" s="3"/>
    </row>
    <row r="654" spans="1:8" ht="18.5" x14ac:dyDescent="0.45">
      <c r="A654" s="3">
        <v>648</v>
      </c>
      <c r="B654" s="9">
        <f t="shared" si="41"/>
        <v>0.99821559547088556</v>
      </c>
      <c r="C654" s="3">
        <f t="shared" si="42"/>
        <v>4433674.3888434852</v>
      </c>
      <c r="D654" s="3">
        <f t="shared" si="43"/>
        <v>34.227125024423003</v>
      </c>
      <c r="E654" s="8">
        <f t="shared" si="40"/>
        <v>92.571428571428569</v>
      </c>
      <c r="F654" s="3"/>
      <c r="G654" s="3"/>
      <c r="H654" s="3"/>
    </row>
    <row r="655" spans="1:8" ht="18.5" x14ac:dyDescent="0.45">
      <c r="A655" s="3">
        <v>649</v>
      </c>
      <c r="B655" s="9">
        <f t="shared" si="41"/>
        <v>0.99822325953771007</v>
      </c>
      <c r="C655" s="3">
        <f t="shared" si="42"/>
        <v>4433708.4295626935</v>
      </c>
      <c r="D655" s="3">
        <f t="shared" si="43"/>
        <v>34.040719208307564</v>
      </c>
      <c r="E655" s="8">
        <f t="shared" si="40"/>
        <v>92.714285714285708</v>
      </c>
      <c r="F655" s="3"/>
      <c r="G655" s="3"/>
      <c r="H655" s="3"/>
    </row>
    <row r="656" spans="1:8" ht="18.5" x14ac:dyDescent="0.45">
      <c r="A656" s="3">
        <v>650</v>
      </c>
      <c r="B656" s="9">
        <f t="shared" si="41"/>
        <v>0.99823088191532239</v>
      </c>
      <c r="C656" s="3">
        <f t="shared" si="42"/>
        <v>4433742.2851150958</v>
      </c>
      <c r="D656" s="3">
        <f t="shared" si="43"/>
        <v>33.855552402324975</v>
      </c>
      <c r="E656" s="8">
        <f t="shared" si="40"/>
        <v>92.857142857142861</v>
      </c>
      <c r="F656" s="3"/>
      <c r="G656" s="3"/>
      <c r="H656" s="3"/>
    </row>
    <row r="657" spans="1:8" ht="18.5" x14ac:dyDescent="0.45">
      <c r="A657" s="3">
        <v>651</v>
      </c>
      <c r="B657" s="9">
        <f t="shared" si="41"/>
        <v>0.99823846288047857</v>
      </c>
      <c r="C657" s="3">
        <f t="shared" si="42"/>
        <v>4433775.9567299336</v>
      </c>
      <c r="D657" s="3">
        <f t="shared" si="43"/>
        <v>33.671614837832749</v>
      </c>
      <c r="E657" s="8">
        <f t="shared" si="40"/>
        <v>93</v>
      </c>
      <c r="F657" s="3"/>
      <c r="G657" s="3"/>
      <c r="H657" s="3"/>
    </row>
    <row r="658" spans="1:8" ht="18.5" x14ac:dyDescent="0.45">
      <c r="A658" s="3">
        <v>652</v>
      </c>
      <c r="B658" s="9">
        <f t="shared" si="41"/>
        <v>0.99824600270775421</v>
      </c>
      <c r="C658" s="3">
        <f t="shared" si="42"/>
        <v>4433809.4456267608</v>
      </c>
      <c r="D658" s="3">
        <f t="shared" si="43"/>
        <v>33.488896827213466</v>
      </c>
      <c r="E658" s="8">
        <f t="shared" si="40"/>
        <v>93.142857142857139</v>
      </c>
      <c r="F658" s="3"/>
      <c r="G658" s="3"/>
      <c r="H658" s="3"/>
    </row>
    <row r="659" spans="1:8" ht="18.5" x14ac:dyDescent="0.45">
      <c r="A659" s="3">
        <v>653</v>
      </c>
      <c r="B659" s="9">
        <f t="shared" si="41"/>
        <v>0.99825350166956506</v>
      </c>
      <c r="C659" s="3">
        <f t="shared" si="42"/>
        <v>4433842.7530155405</v>
      </c>
      <c r="D659" s="3">
        <f t="shared" si="43"/>
        <v>33.307388779707253</v>
      </c>
      <c r="E659" s="8">
        <f t="shared" si="40"/>
        <v>93.285714285714292</v>
      </c>
      <c r="F659" s="3"/>
      <c r="G659" s="3"/>
      <c r="H659" s="3"/>
    </row>
    <row r="660" spans="1:8" ht="18.5" x14ac:dyDescent="0.45">
      <c r="A660" s="3">
        <v>654</v>
      </c>
      <c r="B660" s="9">
        <f t="shared" si="41"/>
        <v>0.99826096003618625</v>
      </c>
      <c r="C660" s="3">
        <f t="shared" si="42"/>
        <v>4433875.8800967252</v>
      </c>
      <c r="D660" s="3">
        <f t="shared" si="43"/>
        <v>33.127081184647977</v>
      </c>
      <c r="E660" s="8">
        <f t="shared" si="40"/>
        <v>93.428571428571431</v>
      </c>
      <c r="F660" s="3"/>
      <c r="G660" s="3"/>
      <c r="H660" s="3"/>
    </row>
    <row r="661" spans="1:8" ht="18.5" x14ac:dyDescent="0.45">
      <c r="A661" s="3">
        <v>655</v>
      </c>
      <c r="B661" s="9">
        <f t="shared" si="41"/>
        <v>0.99826837807577162</v>
      </c>
      <c r="C661" s="3">
        <f t="shared" si="42"/>
        <v>4433908.8280613469</v>
      </c>
      <c r="D661" s="3">
        <f t="shared" si="43"/>
        <v>32.947964621707797</v>
      </c>
      <c r="E661" s="8">
        <f t="shared" si="40"/>
        <v>93.571428571428569</v>
      </c>
      <c r="F661" s="3"/>
      <c r="G661" s="3"/>
      <c r="H661" s="3"/>
    </row>
    <row r="662" spans="1:8" ht="18.5" x14ac:dyDescent="0.45">
      <c r="A662" s="3">
        <v>656</v>
      </c>
      <c r="B662" s="9">
        <f t="shared" si="41"/>
        <v>0.99827575605437391</v>
      </c>
      <c r="C662" s="3">
        <f t="shared" si="42"/>
        <v>4433941.5980911069</v>
      </c>
      <c r="D662" s="3">
        <f t="shared" si="43"/>
        <v>32.770029759965837</v>
      </c>
      <c r="E662" s="8">
        <f t="shared" si="40"/>
        <v>93.714285714285708</v>
      </c>
      <c r="F662" s="3"/>
      <c r="G662" s="3"/>
      <c r="H662" s="3"/>
    </row>
    <row r="663" spans="1:8" ht="18.5" x14ac:dyDescent="0.45">
      <c r="A663" s="3">
        <v>657</v>
      </c>
      <c r="B663" s="9">
        <f t="shared" si="41"/>
        <v>0.99828309423596306</v>
      </c>
      <c r="C663" s="3">
        <f t="shared" si="42"/>
        <v>4433974.1913584536</v>
      </c>
      <c r="D663" s="3">
        <f t="shared" si="43"/>
        <v>32.593267346732318</v>
      </c>
      <c r="E663" s="8">
        <f t="shared" si="40"/>
        <v>93.857142857142861</v>
      </c>
      <c r="F663" s="3"/>
      <c r="G663" s="3"/>
      <c r="H663" s="3"/>
    </row>
    <row r="664" spans="1:8" ht="18.5" x14ac:dyDescent="0.45">
      <c r="A664" s="3">
        <v>658</v>
      </c>
      <c r="B664" s="9">
        <f t="shared" si="41"/>
        <v>0.99829039288244537</v>
      </c>
      <c r="C664" s="3">
        <f t="shared" si="42"/>
        <v>4434006.6090266695</v>
      </c>
      <c r="D664" s="3">
        <f t="shared" si="43"/>
        <v>32.417668215930462</v>
      </c>
      <c r="E664" s="8">
        <f t="shared" si="40"/>
        <v>94</v>
      </c>
      <c r="F664" s="3"/>
      <c r="G664" s="3"/>
      <c r="H664" s="3"/>
    </row>
    <row r="665" spans="1:8" ht="18.5" x14ac:dyDescent="0.45">
      <c r="A665" s="3">
        <v>659</v>
      </c>
      <c r="B665" s="9">
        <f t="shared" si="41"/>
        <v>0.9982976522536825</v>
      </c>
      <c r="C665" s="3">
        <f t="shared" si="42"/>
        <v>4434038.8522499558</v>
      </c>
      <c r="D665" s="3">
        <f t="shared" si="43"/>
        <v>32.243223286233842</v>
      </c>
      <c r="E665" s="8">
        <f t="shared" si="40"/>
        <v>94.142857142857139</v>
      </c>
      <c r="F665" s="3"/>
      <c r="G665" s="3"/>
      <c r="H665" s="3"/>
    </row>
    <row r="666" spans="1:8" ht="18.5" x14ac:dyDescent="0.45">
      <c r="A666" s="3">
        <v>660</v>
      </c>
      <c r="B666" s="9">
        <f t="shared" si="41"/>
        <v>0.99830487260750944</v>
      </c>
      <c r="C666" s="3">
        <f t="shared" si="42"/>
        <v>4434070.922173514</v>
      </c>
      <c r="D666" s="3">
        <f t="shared" si="43"/>
        <v>32.069923558272421</v>
      </c>
      <c r="E666" s="8">
        <f t="shared" si="40"/>
        <v>94.285714285714292</v>
      </c>
      <c r="F666" s="3"/>
      <c r="G666" s="3"/>
      <c r="H666" s="3"/>
    </row>
    <row r="667" spans="1:8" ht="18.5" x14ac:dyDescent="0.45">
      <c r="A667" s="3">
        <v>661</v>
      </c>
      <c r="B667" s="9">
        <f t="shared" si="41"/>
        <v>0.99831205419975355</v>
      </c>
      <c r="C667" s="3">
        <f t="shared" si="42"/>
        <v>4434102.8199336249</v>
      </c>
      <c r="D667" s="3">
        <f t="shared" si="43"/>
        <v>31.897760110907257</v>
      </c>
      <c r="E667" s="8">
        <f t="shared" si="40"/>
        <v>94.428571428571431</v>
      </c>
      <c r="F667" s="3"/>
      <c r="G667" s="3"/>
      <c r="H667" s="3"/>
    </row>
    <row r="668" spans="1:8" ht="18.5" x14ac:dyDescent="0.45">
      <c r="A668" s="3">
        <v>662</v>
      </c>
      <c r="B668" s="9">
        <f t="shared" si="41"/>
        <v>0.99831919728425211</v>
      </c>
      <c r="C668" s="3">
        <f t="shared" si="42"/>
        <v>4434134.5466577346</v>
      </c>
      <c r="D668" s="3">
        <f t="shared" si="43"/>
        <v>31.726724109612405</v>
      </c>
      <c r="E668" s="8">
        <f t="shared" si="40"/>
        <v>94.571428571428569</v>
      </c>
      <c r="F668" s="3"/>
      <c r="G668" s="3"/>
      <c r="H668" s="3"/>
    </row>
    <row r="669" spans="1:8" ht="18.5" x14ac:dyDescent="0.45">
      <c r="A669" s="3">
        <v>663</v>
      </c>
      <c r="B669" s="9">
        <f t="shared" si="41"/>
        <v>0.99832630211287066</v>
      </c>
      <c r="C669" s="3">
        <f t="shared" si="42"/>
        <v>4434166.1034645261</v>
      </c>
      <c r="D669" s="3">
        <f t="shared" si="43"/>
        <v>31.556806791573763</v>
      </c>
      <c r="E669" s="8">
        <f t="shared" si="40"/>
        <v>94.714285714285708</v>
      </c>
      <c r="F669" s="3"/>
      <c r="G669" s="3"/>
      <c r="H669" s="3"/>
    </row>
    <row r="670" spans="1:8" ht="18.5" x14ac:dyDescent="0.45">
      <c r="A670" s="3">
        <v>664</v>
      </c>
      <c r="B670" s="9">
        <f t="shared" si="41"/>
        <v>0.9983333689355206</v>
      </c>
      <c r="C670" s="3">
        <f t="shared" si="42"/>
        <v>4434197.4914640086</v>
      </c>
      <c r="D670" s="3">
        <f t="shared" si="43"/>
        <v>31.387999482452869</v>
      </c>
      <c r="E670" s="8">
        <f t="shared" si="40"/>
        <v>94.857142857142861</v>
      </c>
      <c r="F670" s="3"/>
      <c r="G670" s="3"/>
      <c r="H670" s="3"/>
    </row>
    <row r="671" spans="1:8" ht="18.5" x14ac:dyDescent="0.45">
      <c r="A671" s="3">
        <v>665</v>
      </c>
      <c r="B671" s="9">
        <f t="shared" si="41"/>
        <v>0.99834039800017693</v>
      </c>
      <c r="C671" s="3">
        <f t="shared" si="42"/>
        <v>4434228.7117575854</v>
      </c>
      <c r="D671" s="3">
        <f t="shared" si="43"/>
        <v>31.220293576829135</v>
      </c>
      <c r="E671" s="8">
        <f t="shared" si="40"/>
        <v>95</v>
      </c>
      <c r="F671" s="3"/>
      <c r="G671" s="3"/>
      <c r="H671" s="3"/>
    </row>
    <row r="672" spans="1:8" ht="18.5" x14ac:dyDescent="0.45">
      <c r="A672" s="3">
        <v>666</v>
      </c>
      <c r="B672" s="9">
        <f t="shared" si="41"/>
        <v>0.99834738955289537</v>
      </c>
      <c r="C672" s="3">
        <f t="shared" si="42"/>
        <v>4434259.7654381404</v>
      </c>
      <c r="D672" s="3">
        <f t="shared" si="43"/>
        <v>31.053680554963648</v>
      </c>
      <c r="E672" s="8">
        <f t="shared" si="40"/>
        <v>95.142857142857139</v>
      </c>
      <c r="F672" s="3"/>
      <c r="G672" s="3"/>
      <c r="H672" s="3"/>
    </row>
    <row r="673" spans="1:8" ht="18.5" x14ac:dyDescent="0.45">
      <c r="A673" s="3">
        <v>667</v>
      </c>
      <c r="B673" s="9">
        <f t="shared" si="41"/>
        <v>0.99835434383783006</v>
      </c>
      <c r="C673" s="3">
        <f t="shared" si="42"/>
        <v>4434290.6535901064</v>
      </c>
      <c r="D673" s="3">
        <f t="shared" si="43"/>
        <v>30.888151966035366</v>
      </c>
      <c r="E673" s="8">
        <f t="shared" si="40"/>
        <v>95.285714285714292</v>
      </c>
      <c r="F673" s="3"/>
      <c r="G673" s="3"/>
      <c r="H673" s="3"/>
    </row>
    <row r="674" spans="1:8" ht="18.5" x14ac:dyDescent="0.45">
      <c r="A674" s="3">
        <v>668</v>
      </c>
      <c r="B674" s="9">
        <f t="shared" si="41"/>
        <v>0.99836126109725021</v>
      </c>
      <c r="C674" s="3">
        <f t="shared" si="42"/>
        <v>4434321.3772895467</v>
      </c>
      <c r="D674" s="3">
        <f t="shared" si="43"/>
        <v>30.723699440248311</v>
      </c>
      <c r="E674" s="8">
        <f t="shared" si="40"/>
        <v>95.428571428571431</v>
      </c>
      <c r="F674" s="3"/>
      <c r="G674" s="3"/>
      <c r="H674" s="3"/>
    </row>
    <row r="675" spans="1:8" ht="18.5" x14ac:dyDescent="0.45">
      <c r="A675" s="3">
        <v>669</v>
      </c>
      <c r="B675" s="9">
        <f t="shared" si="41"/>
        <v>0.99836814157155718</v>
      </c>
      <c r="C675" s="3">
        <f t="shared" si="42"/>
        <v>4434351.937604228</v>
      </c>
      <c r="D675" s="3">
        <f t="shared" si="43"/>
        <v>30.560314681380987</v>
      </c>
      <c r="E675" s="8">
        <f t="shared" si="40"/>
        <v>95.571428571428569</v>
      </c>
      <c r="F675" s="3"/>
      <c r="G675" s="3"/>
      <c r="H675" s="3"/>
    </row>
    <row r="676" spans="1:8" ht="18.5" x14ac:dyDescent="0.45">
      <c r="A676" s="3">
        <v>670</v>
      </c>
      <c r="B676" s="9">
        <f t="shared" si="41"/>
        <v>0.99837498549930115</v>
      </c>
      <c r="C676" s="3">
        <f t="shared" si="42"/>
        <v>4434382.3355936958</v>
      </c>
      <c r="D676" s="3">
        <f t="shared" si="43"/>
        <v>30.397989467717707</v>
      </c>
      <c r="E676" s="8">
        <f t="shared" si="40"/>
        <v>95.714285714285708</v>
      </c>
      <c r="F676" s="3"/>
      <c r="G676" s="3"/>
      <c r="H676" s="3"/>
    </row>
    <row r="677" spans="1:8" ht="18.5" x14ac:dyDescent="0.45">
      <c r="A677" s="3">
        <v>671</v>
      </c>
      <c r="B677" s="9">
        <f t="shared" si="41"/>
        <v>0.99838179311719766</v>
      </c>
      <c r="C677" s="3">
        <f t="shared" si="42"/>
        <v>4434412.572309345</v>
      </c>
      <c r="D677" s="3">
        <f t="shared" si="43"/>
        <v>30.23671564925462</v>
      </c>
      <c r="E677" s="8">
        <f t="shared" si="40"/>
        <v>95.857142857142861</v>
      </c>
      <c r="F677" s="3"/>
      <c r="G677" s="3"/>
      <c r="H677" s="3"/>
    </row>
    <row r="678" spans="1:8" ht="18.5" x14ac:dyDescent="0.45">
      <c r="A678" s="3">
        <v>672</v>
      </c>
      <c r="B678" s="9">
        <f t="shared" si="41"/>
        <v>0.99838856466014403</v>
      </c>
      <c r="C678" s="3">
        <f t="shared" si="42"/>
        <v>4434442.6487944955</v>
      </c>
      <c r="D678" s="3">
        <f t="shared" si="43"/>
        <v>30.076485150493681</v>
      </c>
      <c r="E678" s="8">
        <f t="shared" si="40"/>
        <v>96</v>
      </c>
      <c r="F678" s="3"/>
      <c r="G678" s="3"/>
      <c r="H678" s="3"/>
    </row>
    <row r="679" spans="1:8" ht="18.5" x14ac:dyDescent="0.45">
      <c r="A679" s="3">
        <v>673</v>
      </c>
      <c r="B679" s="9">
        <f t="shared" si="41"/>
        <v>0.99839530036123558</v>
      </c>
      <c r="C679" s="3">
        <f t="shared" si="42"/>
        <v>4434472.5660844641</v>
      </c>
      <c r="D679" s="3">
        <f t="shared" si="43"/>
        <v>29.917289968580008</v>
      </c>
      <c r="E679" s="8">
        <f t="shared" si="40"/>
        <v>96.142857142857139</v>
      </c>
      <c r="F679" s="3"/>
      <c r="G679" s="3"/>
      <c r="H679" s="3"/>
    </row>
    <row r="680" spans="1:8" ht="18.5" x14ac:dyDescent="0.45">
      <c r="A680" s="3">
        <v>674</v>
      </c>
      <c r="B680" s="9">
        <f t="shared" si="41"/>
        <v>0.99840200045178151</v>
      </c>
      <c r="C680" s="3">
        <f t="shared" si="42"/>
        <v>4434502.3252066327</v>
      </c>
      <c r="D680" s="3">
        <f t="shared" si="43"/>
        <v>29.759122168645263</v>
      </c>
      <c r="E680" s="8">
        <f t="shared" si="40"/>
        <v>96.285714285714292</v>
      </c>
      <c r="F680" s="3"/>
      <c r="G680" s="3"/>
      <c r="H680" s="3"/>
    </row>
    <row r="681" spans="1:8" ht="18.5" x14ac:dyDescent="0.45">
      <c r="A681" s="3">
        <v>675</v>
      </c>
      <c r="B681" s="9">
        <f t="shared" si="41"/>
        <v>0.99840866516132087</v>
      </c>
      <c r="C681" s="3">
        <f t="shared" si="42"/>
        <v>4434531.9271805231</v>
      </c>
      <c r="D681" s="3">
        <f t="shared" si="43"/>
        <v>29.601973890326917</v>
      </c>
      <c r="E681" s="8">
        <f t="shared" si="40"/>
        <v>96.428571428571431</v>
      </c>
      <c r="F681" s="3"/>
      <c r="G681" s="3"/>
      <c r="H681" s="3"/>
    </row>
    <row r="682" spans="1:8" ht="18.5" x14ac:dyDescent="0.45">
      <c r="A682" s="3">
        <v>676</v>
      </c>
      <c r="B682" s="9">
        <f t="shared" si="41"/>
        <v>0.99841529471763857</v>
      </c>
      <c r="C682" s="3">
        <f t="shared" si="42"/>
        <v>4434561.3730178634</v>
      </c>
      <c r="D682" s="3">
        <f t="shared" si="43"/>
        <v>29.445837340317667</v>
      </c>
      <c r="E682" s="8">
        <f t="shared" si="40"/>
        <v>96.571428571428569</v>
      </c>
      <c r="F682" s="3"/>
      <c r="G682" s="3"/>
      <c r="H682" s="3"/>
    </row>
    <row r="683" spans="1:8" ht="18.5" x14ac:dyDescent="0.45">
      <c r="A683" s="3">
        <v>677</v>
      </c>
      <c r="B683" s="9">
        <f t="shared" si="41"/>
        <v>0.99842188934678044</v>
      </c>
      <c r="C683" s="3">
        <f t="shared" si="42"/>
        <v>4434590.6637226604</v>
      </c>
      <c r="D683" s="3">
        <f t="shared" si="43"/>
        <v>29.290704797022045</v>
      </c>
      <c r="E683" s="8">
        <f t="shared" si="40"/>
        <v>96.714285714285708</v>
      </c>
      <c r="F683" s="3"/>
      <c r="G683" s="3"/>
      <c r="H683" s="3"/>
    </row>
    <row r="684" spans="1:8" ht="18.5" x14ac:dyDescent="0.45">
      <c r="A684" s="3">
        <v>678</v>
      </c>
      <c r="B684" s="9">
        <f t="shared" si="41"/>
        <v>0.99842844927306895</v>
      </c>
      <c r="C684" s="3">
        <f t="shared" si="42"/>
        <v>4434619.8002912635</v>
      </c>
      <c r="D684" s="3">
        <f t="shared" si="43"/>
        <v>29.136568603105843</v>
      </c>
      <c r="E684" s="8">
        <f t="shared" si="40"/>
        <v>96.857142857142861</v>
      </c>
      <c r="F684" s="3"/>
      <c r="G684" s="3"/>
      <c r="H684" s="3"/>
    </row>
    <row r="685" spans="1:8" ht="18.5" x14ac:dyDescent="0.45">
      <c r="A685" s="3">
        <v>679</v>
      </c>
      <c r="B685" s="9">
        <f t="shared" si="41"/>
        <v>0.99843497471911824</v>
      </c>
      <c r="C685" s="3">
        <f t="shared" si="42"/>
        <v>4434648.7837124355</v>
      </c>
      <c r="D685" s="3">
        <f t="shared" si="43"/>
        <v>28.983421172015369</v>
      </c>
      <c r="E685" s="8">
        <f t="shared" si="40"/>
        <v>97</v>
      </c>
      <c r="F685" s="3"/>
      <c r="G685" s="3"/>
      <c r="H685" s="3"/>
    </row>
    <row r="686" spans="1:8" ht="18.5" x14ac:dyDescent="0.45">
      <c r="A686" s="3">
        <v>680</v>
      </c>
      <c r="B686" s="9">
        <f t="shared" si="41"/>
        <v>0.9984414659058497</v>
      </c>
      <c r="C686" s="3">
        <f t="shared" si="42"/>
        <v>4434677.6149674216</v>
      </c>
      <c r="D686" s="3">
        <f t="shared" si="43"/>
        <v>28.8312549861148</v>
      </c>
      <c r="E686" s="8">
        <f t="shared" si="40"/>
        <v>97.142857142857139</v>
      </c>
      <c r="F686" s="3"/>
      <c r="G686" s="3"/>
      <c r="H686" s="3"/>
    </row>
    <row r="687" spans="1:8" ht="18.5" x14ac:dyDescent="0.45">
      <c r="A687" s="3">
        <v>681</v>
      </c>
      <c r="B687" s="9">
        <f t="shared" si="41"/>
        <v>0.99844792305250607</v>
      </c>
      <c r="C687" s="3">
        <f t="shared" si="42"/>
        <v>4434706.2950300109</v>
      </c>
      <c r="D687" s="3">
        <f t="shared" si="43"/>
        <v>28.680062589235604</v>
      </c>
      <c r="E687" s="8">
        <f t="shared" si="40"/>
        <v>97.285714285714292</v>
      </c>
      <c r="F687" s="3"/>
      <c r="G687" s="3"/>
      <c r="H687" s="3"/>
    </row>
    <row r="688" spans="1:8" ht="18.5" x14ac:dyDescent="0.45">
      <c r="A688" s="3">
        <v>682</v>
      </c>
      <c r="B688" s="9">
        <f t="shared" si="41"/>
        <v>0.99845434637666719</v>
      </c>
      <c r="C688" s="3">
        <f t="shared" si="42"/>
        <v>4434734.824866605</v>
      </c>
      <c r="D688" s="3">
        <f t="shared" si="43"/>
        <v>28.529836594127119</v>
      </c>
      <c r="E688" s="8">
        <f t="shared" si="40"/>
        <v>97.428571428571431</v>
      </c>
      <c r="F688" s="3"/>
      <c r="G688" s="3"/>
      <c r="H688" s="3"/>
    </row>
    <row r="689" spans="1:8" ht="18.5" x14ac:dyDescent="0.45">
      <c r="A689" s="3">
        <v>683</v>
      </c>
      <c r="B689" s="9">
        <f t="shared" si="41"/>
        <v>0.99846073609426389</v>
      </c>
      <c r="C689" s="3">
        <f t="shared" si="42"/>
        <v>4434763.2054362828</v>
      </c>
      <c r="D689" s="3">
        <f t="shared" si="43"/>
        <v>28.38056967779994</v>
      </c>
      <c r="E689" s="8">
        <f t="shared" si="40"/>
        <v>97.571428571428569</v>
      </c>
      <c r="F689" s="3"/>
      <c r="G689" s="3"/>
      <c r="H689" s="3"/>
    </row>
    <row r="690" spans="1:8" ht="18.5" x14ac:dyDescent="0.45">
      <c r="A690" s="3">
        <v>684</v>
      </c>
      <c r="B690" s="9">
        <f t="shared" si="41"/>
        <v>0.99846709241959286</v>
      </c>
      <c r="C690" s="3">
        <f t="shared" si="42"/>
        <v>4434791.4376908634</v>
      </c>
      <c r="D690" s="3">
        <f t="shared" si="43"/>
        <v>28.232254580594599</v>
      </c>
      <c r="E690" s="8">
        <f t="shared" si="40"/>
        <v>97.714285714285708</v>
      </c>
      <c r="F690" s="3"/>
      <c r="G690" s="3"/>
      <c r="H690" s="3"/>
    </row>
    <row r="691" spans="1:8" ht="18.5" x14ac:dyDescent="0.45">
      <c r="A691" s="3">
        <v>685</v>
      </c>
      <c r="B691" s="9">
        <f t="shared" si="41"/>
        <v>0.99847341556533098</v>
      </c>
      <c r="C691" s="3">
        <f t="shared" si="42"/>
        <v>4434819.5225749742</v>
      </c>
      <c r="D691" s="3">
        <f t="shared" si="43"/>
        <v>28.084884110838175</v>
      </c>
      <c r="E691" s="8">
        <f t="shared" si="40"/>
        <v>97.857142857142861</v>
      </c>
      <c r="F691" s="3"/>
      <c r="G691" s="3"/>
      <c r="H691" s="3"/>
    </row>
    <row r="692" spans="1:8" ht="18.5" x14ac:dyDescent="0.45">
      <c r="A692" s="3">
        <v>686</v>
      </c>
      <c r="B692" s="9">
        <f t="shared" si="41"/>
        <v>0.99847970574254918</v>
      </c>
      <c r="C692" s="3">
        <f t="shared" si="42"/>
        <v>4434847.461026106</v>
      </c>
      <c r="D692" s="3">
        <f t="shared" si="43"/>
        <v>27.938451131805778</v>
      </c>
      <c r="E692" s="8">
        <f t="shared" si="40"/>
        <v>98</v>
      </c>
      <c r="F692" s="3"/>
      <c r="G692" s="3"/>
      <c r="H692" s="3"/>
    </row>
    <row r="693" spans="1:8" ht="18.5" x14ac:dyDescent="0.45">
      <c r="A693" s="3">
        <v>687</v>
      </c>
      <c r="B693" s="9">
        <f t="shared" si="41"/>
        <v>0.99848596316072724</v>
      </c>
      <c r="C693" s="3">
        <f t="shared" si="42"/>
        <v>4434875.2539746864</v>
      </c>
      <c r="D693" s="3">
        <f t="shared" si="43"/>
        <v>27.792948580347002</v>
      </c>
      <c r="E693" s="8">
        <f t="shared" si="40"/>
        <v>98.142857142857139</v>
      </c>
      <c r="F693" s="3"/>
      <c r="G693" s="3"/>
      <c r="H693" s="3"/>
    </row>
    <row r="694" spans="1:8" ht="18.5" x14ac:dyDescent="0.45">
      <c r="A694" s="3">
        <v>688</v>
      </c>
      <c r="B694" s="9">
        <f t="shared" si="41"/>
        <v>0.99849218802776674</v>
      </c>
      <c r="C694" s="3">
        <f t="shared" si="42"/>
        <v>4434902.902344129</v>
      </c>
      <c r="D694" s="3">
        <f t="shared" si="43"/>
        <v>27.648369442671537</v>
      </c>
      <c r="E694" s="8">
        <f t="shared" si="40"/>
        <v>98.285714285714292</v>
      </c>
      <c r="F694" s="3"/>
      <c r="G694" s="3"/>
      <c r="H694" s="3"/>
    </row>
    <row r="695" spans="1:8" ht="18.5" x14ac:dyDescent="0.45">
      <c r="A695" s="3">
        <v>689</v>
      </c>
      <c r="B695" s="9">
        <f t="shared" si="41"/>
        <v>0.99849838055000573</v>
      </c>
      <c r="C695" s="3">
        <f t="shared" si="42"/>
        <v>4434930.4070509057</v>
      </c>
      <c r="D695" s="3">
        <f t="shared" si="43"/>
        <v>27.504706776700914</v>
      </c>
      <c r="E695" s="8">
        <f t="shared" si="40"/>
        <v>98.428571428571431</v>
      </c>
      <c r="F695" s="3"/>
      <c r="G695" s="3"/>
      <c r="H695" s="3"/>
    </row>
    <row r="696" spans="1:8" ht="18.5" x14ac:dyDescent="0.45">
      <c r="A696" s="3">
        <v>690</v>
      </c>
      <c r="B696" s="9">
        <f t="shared" si="41"/>
        <v>0.99850454093223195</v>
      </c>
      <c r="C696" s="3">
        <f t="shared" si="42"/>
        <v>4434957.7690046011</v>
      </c>
      <c r="D696" s="3">
        <f t="shared" si="43"/>
        <v>27.361953695304692</v>
      </c>
      <c r="E696" s="8">
        <f t="shared" si="40"/>
        <v>98.571428571428569</v>
      </c>
      <c r="F696" s="3"/>
      <c r="G696" s="3"/>
      <c r="H696" s="3"/>
    </row>
    <row r="697" spans="1:8" ht="18.5" x14ac:dyDescent="0.45">
      <c r="A697" s="3">
        <v>691</v>
      </c>
      <c r="B697" s="9">
        <f t="shared" si="41"/>
        <v>0.99851066937769617</v>
      </c>
      <c r="C697" s="3">
        <f t="shared" si="42"/>
        <v>4434984.9891079757</v>
      </c>
      <c r="D697" s="3">
        <f t="shared" si="43"/>
        <v>27.220103374682367</v>
      </c>
      <c r="E697" s="8">
        <f t="shared" si="40"/>
        <v>98.714285714285708</v>
      </c>
      <c r="F697" s="3"/>
      <c r="G697" s="3"/>
      <c r="H697" s="3"/>
    </row>
    <row r="698" spans="1:8" ht="18.5" x14ac:dyDescent="0.45">
      <c r="A698" s="3">
        <v>692</v>
      </c>
      <c r="B698" s="9">
        <f t="shared" si="41"/>
        <v>0.99851676608812612</v>
      </c>
      <c r="C698" s="3">
        <f t="shared" si="42"/>
        <v>4435012.0682570208</v>
      </c>
      <c r="D698" s="3">
        <f t="shared" si="43"/>
        <v>27.079149045050144</v>
      </c>
      <c r="E698" s="8">
        <f t="shared" si="40"/>
        <v>98.857142857142861</v>
      </c>
      <c r="F698" s="3"/>
      <c r="G698" s="3"/>
      <c r="H698" s="3"/>
    </row>
    <row r="699" spans="1:8" ht="18.5" x14ac:dyDescent="0.45">
      <c r="A699" s="3">
        <v>693</v>
      </c>
      <c r="B699" s="9">
        <f t="shared" si="41"/>
        <v>0.99852283126373909</v>
      </c>
      <c r="C699" s="3">
        <f t="shared" si="42"/>
        <v>4435039.0073410235</v>
      </c>
      <c r="D699" s="3">
        <f t="shared" si="43"/>
        <v>26.939084002748132</v>
      </c>
      <c r="E699" s="8">
        <f t="shared" si="40"/>
        <v>99</v>
      </c>
      <c r="F699" s="3"/>
      <c r="G699" s="3"/>
      <c r="H699" s="3"/>
    </row>
    <row r="700" spans="1:8" ht="18.5" x14ac:dyDescent="0.45">
      <c r="A700" s="3">
        <v>694</v>
      </c>
      <c r="B700" s="9">
        <f t="shared" si="41"/>
        <v>0.99852886510325556</v>
      </c>
      <c r="C700" s="3">
        <f t="shared" si="42"/>
        <v>4435065.8072426198</v>
      </c>
      <c r="D700" s="3">
        <f t="shared" si="43"/>
        <v>26.799901596270502</v>
      </c>
      <c r="E700" s="8">
        <f t="shared" si="40"/>
        <v>99.142857142857139</v>
      </c>
      <c r="F700" s="3"/>
      <c r="G700" s="3"/>
      <c r="H700" s="3"/>
    </row>
    <row r="701" spans="1:8" ht="18.5" x14ac:dyDescent="0.45">
      <c r="A701" s="3">
        <v>695</v>
      </c>
      <c r="B701" s="9">
        <f t="shared" si="41"/>
        <v>0.99853486780391187</v>
      </c>
      <c r="C701" s="3">
        <f t="shared" si="42"/>
        <v>4435092.4688378554</v>
      </c>
      <c r="D701" s="3">
        <f t="shared" si="43"/>
        <v>26.661595235578716</v>
      </c>
      <c r="E701" s="8">
        <f t="shared" si="40"/>
        <v>99.285714285714292</v>
      </c>
      <c r="F701" s="3"/>
      <c r="G701" s="3"/>
      <c r="H701" s="3"/>
    </row>
    <row r="702" spans="1:8" ht="18.5" x14ac:dyDescent="0.45">
      <c r="A702" s="3">
        <v>696</v>
      </c>
      <c r="B702" s="9">
        <f t="shared" si="41"/>
        <v>0.99854083956147333</v>
      </c>
      <c r="C702" s="3">
        <f t="shared" si="42"/>
        <v>4435118.99299624</v>
      </c>
      <c r="D702" s="3">
        <f t="shared" si="43"/>
        <v>26.524158384650946</v>
      </c>
      <c r="E702" s="8">
        <f t="shared" si="40"/>
        <v>99.428571428571431</v>
      </c>
      <c r="F702" s="3"/>
      <c r="G702" s="3"/>
      <c r="H702" s="3"/>
    </row>
    <row r="703" spans="1:8" ht="18.5" x14ac:dyDescent="0.45">
      <c r="A703" s="3">
        <v>697</v>
      </c>
      <c r="B703" s="9">
        <f t="shared" si="41"/>
        <v>0.99854678057024671</v>
      </c>
      <c r="C703" s="3">
        <f t="shared" si="42"/>
        <v>4435145.380580808</v>
      </c>
      <c r="D703" s="3">
        <f t="shared" si="43"/>
        <v>26.38758456800133</v>
      </c>
      <c r="E703" s="8">
        <f t="shared" si="40"/>
        <v>99.571428571428569</v>
      </c>
      <c r="F703" s="3"/>
      <c r="G703" s="3"/>
      <c r="H703" s="3"/>
    </row>
    <row r="704" spans="1:8" ht="18.5" x14ac:dyDescent="0.45">
      <c r="A704" s="3">
        <v>698</v>
      </c>
      <c r="B704" s="9">
        <f t="shared" si="41"/>
        <v>0.99855269102309296</v>
      </c>
      <c r="C704" s="3">
        <f t="shared" si="42"/>
        <v>4435171.6324481694</v>
      </c>
      <c r="D704" s="3">
        <f t="shared" si="43"/>
        <v>26.251867361366749</v>
      </c>
      <c r="E704" s="8">
        <f t="shared" si="40"/>
        <v>99.714285714285708</v>
      </c>
      <c r="F704" s="3"/>
      <c r="G704" s="3"/>
      <c r="H704" s="3"/>
    </row>
    <row r="705" spans="1:8" ht="18.5" x14ac:dyDescent="0.45">
      <c r="A705" s="3">
        <v>699</v>
      </c>
      <c r="B705" s="9">
        <f t="shared" si="41"/>
        <v>0.99855857111143964</v>
      </c>
      <c r="C705" s="3">
        <f t="shared" si="42"/>
        <v>4435197.7494485704</v>
      </c>
      <c r="D705" s="3">
        <f t="shared" si="43"/>
        <v>26.11700040102005</v>
      </c>
      <c r="E705" s="8">
        <f t="shared" si="40"/>
        <v>99.857142857142861</v>
      </c>
      <c r="F705" s="3"/>
      <c r="G705" s="3"/>
      <c r="H705" s="3"/>
    </row>
    <row r="706" spans="1:8" ht="18.5" x14ac:dyDescent="0.45">
      <c r="A706" s="3">
        <v>700</v>
      </c>
      <c r="B706" s="9">
        <f t="shared" si="41"/>
        <v>0.99856442102529319</v>
      </c>
      <c r="C706" s="3">
        <f t="shared" si="42"/>
        <v>4435223.7324259421</v>
      </c>
      <c r="D706" s="3">
        <f t="shared" si="43"/>
        <v>25.982977371662855</v>
      </c>
      <c r="E706" s="8">
        <f t="shared" si="40"/>
        <v>100</v>
      </c>
      <c r="F706" s="3"/>
      <c r="G706" s="3"/>
      <c r="H706" s="3"/>
    </row>
    <row r="707" spans="1:8" ht="18.5" x14ac:dyDescent="0.45">
      <c r="A707" s="3">
        <v>701</v>
      </c>
      <c r="B707" s="9">
        <f t="shared" si="41"/>
        <v>0.99857024095325164</v>
      </c>
      <c r="C707" s="3">
        <f t="shared" si="42"/>
        <v>4435249.5822179625</v>
      </c>
      <c r="D707" s="3">
        <f t="shared" si="43"/>
        <v>25.849792020395398</v>
      </c>
      <c r="E707" s="8">
        <f t="shared" si="40"/>
        <v>100.14285714285714</v>
      </c>
      <c r="F707" s="3"/>
      <c r="G707" s="3"/>
      <c r="H707" s="3"/>
    </row>
    <row r="708" spans="1:8" ht="18.5" x14ac:dyDescent="0.45">
      <c r="A708" s="3">
        <v>702</v>
      </c>
      <c r="B708" s="9">
        <f t="shared" si="41"/>
        <v>0.99857603108251591</v>
      </c>
      <c r="C708" s="3">
        <f t="shared" si="42"/>
        <v>4435275.2996561024</v>
      </c>
      <c r="D708" s="3">
        <f t="shared" si="43"/>
        <v>25.717438139952719</v>
      </c>
      <c r="E708" s="8">
        <f t="shared" si="40"/>
        <v>100.28571428571429</v>
      </c>
      <c r="F708" s="3"/>
      <c r="G708" s="3"/>
      <c r="H708" s="3"/>
    </row>
    <row r="709" spans="1:8" ht="18.5" x14ac:dyDescent="0.45">
      <c r="A709" s="3">
        <v>703</v>
      </c>
      <c r="B709" s="9">
        <f t="shared" si="41"/>
        <v>0.99858179159890259</v>
      </c>
      <c r="C709" s="3">
        <f t="shared" si="42"/>
        <v>4435300.885565686</v>
      </c>
      <c r="D709" s="3">
        <f t="shared" si="43"/>
        <v>25.585909583605826</v>
      </c>
      <c r="E709" s="8">
        <f t="shared" si="40"/>
        <v>100.42857142857143</v>
      </c>
      <c r="F709" s="3"/>
      <c r="G709" s="3"/>
      <c r="H709" s="3"/>
    </row>
    <row r="710" spans="1:8" ht="18.5" x14ac:dyDescent="0.45">
      <c r="A710" s="3">
        <v>704</v>
      </c>
      <c r="B710" s="9">
        <f t="shared" si="41"/>
        <v>0.99858752268685524</v>
      </c>
      <c r="C710" s="3">
        <f t="shared" si="42"/>
        <v>4435326.3407659363</v>
      </c>
      <c r="D710" s="3">
        <f t="shared" si="43"/>
        <v>25.455200250260532</v>
      </c>
      <c r="E710" s="8">
        <f t="shared" si="40"/>
        <v>100.57142857142857</v>
      </c>
      <c r="F710" s="3"/>
      <c r="G710" s="3"/>
      <c r="H710" s="3"/>
    </row>
    <row r="711" spans="1:8" ht="18.5" x14ac:dyDescent="0.45">
      <c r="A711" s="3">
        <v>705</v>
      </c>
      <c r="B711" s="9">
        <f t="shared" si="41"/>
        <v>0.99859322452945654</v>
      </c>
      <c r="C711" s="3">
        <f t="shared" si="42"/>
        <v>4435351.6660700338</v>
      </c>
      <c r="D711" s="3">
        <f t="shared" si="43"/>
        <v>25.325304097495973</v>
      </c>
      <c r="E711" s="8">
        <f t="shared" ref="E711:E774" si="44">A711/7</f>
        <v>100.71428571428571</v>
      </c>
      <c r="F711" s="3"/>
      <c r="G711" s="3"/>
      <c r="H711" s="3"/>
    </row>
    <row r="712" spans="1:8" ht="18.5" x14ac:dyDescent="0.45">
      <c r="A712" s="3">
        <v>706</v>
      </c>
      <c r="B712" s="9">
        <f t="shared" ref="B712:B775" si="45">LOGNORMDIST(A712,$A$3,$B$3)</f>
        <v>0.99859889730843987</v>
      </c>
      <c r="C712" s="3">
        <f t="shared" ref="C712:C775" si="46">$E$3*B712</f>
        <v>4435376.862285167</v>
      </c>
      <c r="D712" s="3">
        <f t="shared" ref="D712:D775" si="47">C712-C711</f>
        <v>25.196215133182704</v>
      </c>
      <c r="E712" s="8">
        <f t="shared" si="44"/>
        <v>100.85714285714286</v>
      </c>
      <c r="F712" s="3"/>
      <c r="G712" s="3"/>
      <c r="H712" s="3"/>
    </row>
    <row r="713" spans="1:8" ht="18.5" x14ac:dyDescent="0.45">
      <c r="A713" s="3">
        <v>707</v>
      </c>
      <c r="B713" s="9">
        <f t="shared" si="45"/>
        <v>0.99860454120420039</v>
      </c>
      <c r="C713" s="3">
        <f t="shared" si="46"/>
        <v>4435401.9302125769</v>
      </c>
      <c r="D713" s="3">
        <f t="shared" si="47"/>
        <v>25.067927409894764</v>
      </c>
      <c r="E713" s="8">
        <f t="shared" si="44"/>
        <v>101</v>
      </c>
      <c r="F713" s="3"/>
      <c r="G713" s="3"/>
      <c r="H713" s="3"/>
    </row>
    <row r="714" spans="1:8" ht="18.5" x14ac:dyDescent="0.45">
      <c r="A714" s="3">
        <v>708</v>
      </c>
      <c r="B714" s="9">
        <f t="shared" si="45"/>
        <v>0.9986101563958073</v>
      </c>
      <c r="C714" s="3">
        <f t="shared" si="46"/>
        <v>4435426.8706476176</v>
      </c>
      <c r="D714" s="3">
        <f t="shared" si="47"/>
        <v>24.940435040742159</v>
      </c>
      <c r="E714" s="8">
        <f t="shared" si="44"/>
        <v>101.14285714285714</v>
      </c>
      <c r="F714" s="3"/>
      <c r="G714" s="3"/>
      <c r="H714" s="3"/>
    </row>
    <row r="715" spans="1:8" ht="18.5" x14ac:dyDescent="0.45">
      <c r="A715" s="3">
        <v>709</v>
      </c>
      <c r="B715" s="9">
        <f t="shared" si="45"/>
        <v>0.99861574306101442</v>
      </c>
      <c r="C715" s="3">
        <f t="shared" si="46"/>
        <v>4435451.6843798021</v>
      </c>
      <c r="D715" s="3">
        <f t="shared" si="47"/>
        <v>24.8137321844697</v>
      </c>
      <c r="E715" s="8">
        <f t="shared" si="44"/>
        <v>101.28571428571429</v>
      </c>
      <c r="F715" s="3"/>
      <c r="G715" s="3"/>
      <c r="H715" s="3"/>
    </row>
    <row r="716" spans="1:8" ht="18.5" x14ac:dyDescent="0.45">
      <c r="A716" s="3">
        <v>710</v>
      </c>
      <c r="B716" s="9">
        <f t="shared" si="45"/>
        <v>0.9986213013762717</v>
      </c>
      <c r="C716" s="3">
        <f t="shared" si="46"/>
        <v>4435476.3721928485</v>
      </c>
      <c r="D716" s="3">
        <f t="shared" si="47"/>
        <v>24.687813046388328</v>
      </c>
      <c r="E716" s="8">
        <f t="shared" si="44"/>
        <v>101.42857142857143</v>
      </c>
      <c r="F716" s="3"/>
      <c r="G716" s="3"/>
      <c r="H716" s="3"/>
    </row>
    <row r="717" spans="1:8" ht="18.5" x14ac:dyDescent="0.45">
      <c r="A717" s="3">
        <v>711</v>
      </c>
      <c r="B717" s="9">
        <f t="shared" si="45"/>
        <v>0.99862683151673615</v>
      </c>
      <c r="C717" s="3">
        <f t="shared" si="46"/>
        <v>4435500.9348647352</v>
      </c>
      <c r="D717" s="3">
        <f t="shared" si="47"/>
        <v>24.562671886757016</v>
      </c>
      <c r="E717" s="8">
        <f t="shared" si="44"/>
        <v>101.57142857142857</v>
      </c>
      <c r="F717" s="3"/>
      <c r="G717" s="3"/>
      <c r="H717" s="3"/>
    </row>
    <row r="718" spans="1:8" ht="18.5" x14ac:dyDescent="0.45">
      <c r="A718" s="3">
        <v>712</v>
      </c>
      <c r="B718" s="9">
        <f t="shared" si="45"/>
        <v>0.99863233365628301</v>
      </c>
      <c r="C718" s="3">
        <f t="shared" si="46"/>
        <v>4435525.3731677467</v>
      </c>
      <c r="D718" s="3">
        <f t="shared" si="47"/>
        <v>24.438303011469543</v>
      </c>
      <c r="E718" s="8">
        <f t="shared" si="44"/>
        <v>101.71428571428571</v>
      </c>
      <c r="F718" s="3"/>
      <c r="G718" s="3"/>
      <c r="H718" s="3"/>
    </row>
    <row r="719" spans="1:8" ht="18.5" x14ac:dyDescent="0.45">
      <c r="A719" s="3">
        <v>713</v>
      </c>
      <c r="B719" s="9">
        <f t="shared" si="45"/>
        <v>0.99863780796751678</v>
      </c>
      <c r="C719" s="3">
        <f t="shared" si="46"/>
        <v>4435549.6878685225</v>
      </c>
      <c r="D719" s="3">
        <f t="shared" si="47"/>
        <v>24.314700775779784</v>
      </c>
      <c r="E719" s="8">
        <f t="shared" si="44"/>
        <v>101.85714285714286</v>
      </c>
      <c r="F719" s="3"/>
      <c r="G719" s="3"/>
      <c r="H719" s="3"/>
    </row>
    <row r="720" spans="1:8" ht="18.5" x14ac:dyDescent="0.45">
      <c r="A720" s="3">
        <v>714</v>
      </c>
      <c r="B720" s="9">
        <f t="shared" si="45"/>
        <v>0.99864325462178138</v>
      </c>
      <c r="C720" s="3">
        <f t="shared" si="46"/>
        <v>4435573.879728104</v>
      </c>
      <c r="D720" s="3">
        <f t="shared" si="47"/>
        <v>24.191859581507742</v>
      </c>
      <c r="E720" s="8">
        <f t="shared" si="44"/>
        <v>102</v>
      </c>
      <c r="F720" s="3"/>
      <c r="G720" s="3"/>
      <c r="H720" s="3"/>
    </row>
    <row r="721" spans="1:8" ht="18.5" x14ac:dyDescent="0.45">
      <c r="A721" s="3">
        <v>715</v>
      </c>
      <c r="B721" s="9">
        <f t="shared" si="45"/>
        <v>0.99864867378917144</v>
      </c>
      <c r="C721" s="3">
        <f t="shared" si="46"/>
        <v>4435597.9495019838</v>
      </c>
      <c r="D721" s="3">
        <f t="shared" si="47"/>
        <v>24.069773879833519</v>
      </c>
      <c r="E721" s="8">
        <f t="shared" si="44"/>
        <v>102.14285714285714</v>
      </c>
      <c r="F721" s="3"/>
      <c r="G721" s="3"/>
      <c r="H721" s="3"/>
    </row>
    <row r="722" spans="1:8" ht="18.5" x14ac:dyDescent="0.45">
      <c r="A722" s="3">
        <v>716</v>
      </c>
      <c r="B722" s="9">
        <f t="shared" si="45"/>
        <v>0.99865406563854264</v>
      </c>
      <c r="C722" s="3">
        <f t="shared" si="46"/>
        <v>4435621.8979401514</v>
      </c>
      <c r="D722" s="3">
        <f t="shared" si="47"/>
        <v>23.948438167572021</v>
      </c>
      <c r="E722" s="8">
        <f t="shared" si="44"/>
        <v>102.28571428571429</v>
      </c>
      <c r="F722" s="3"/>
      <c r="G722" s="3"/>
      <c r="H722" s="3"/>
    </row>
    <row r="723" spans="1:8" ht="18.5" x14ac:dyDescent="0.45">
      <c r="A723" s="3">
        <v>717</v>
      </c>
      <c r="B723" s="9">
        <f t="shared" si="45"/>
        <v>0.99865943033752191</v>
      </c>
      <c r="C723" s="3">
        <f t="shared" si="46"/>
        <v>4435645.7257871376</v>
      </c>
      <c r="D723" s="3">
        <f t="shared" si="47"/>
        <v>23.827846986241639</v>
      </c>
      <c r="E723" s="8">
        <f t="shared" si="44"/>
        <v>102.42857142857143</v>
      </c>
      <c r="F723" s="3"/>
      <c r="G723" s="3"/>
      <c r="H723" s="3"/>
    </row>
    <row r="724" spans="1:8" ht="18.5" x14ac:dyDescent="0.45">
      <c r="A724" s="3">
        <v>718</v>
      </c>
      <c r="B724" s="9">
        <f t="shared" si="45"/>
        <v>0.99866476805251825</v>
      </c>
      <c r="C724" s="3">
        <f t="shared" si="46"/>
        <v>4435669.4337820653</v>
      </c>
      <c r="D724" s="3">
        <f t="shared" si="47"/>
        <v>23.70799492765218</v>
      </c>
      <c r="E724" s="8">
        <f t="shared" si="44"/>
        <v>102.57142857142857</v>
      </c>
      <c r="F724" s="3"/>
      <c r="G724" s="3"/>
      <c r="H724" s="3"/>
    </row>
    <row r="725" spans="1:8" ht="18.5" x14ac:dyDescent="0.45">
      <c r="A725" s="3">
        <v>719</v>
      </c>
      <c r="B725" s="9">
        <f t="shared" si="45"/>
        <v>0.99867007894873283</v>
      </c>
      <c r="C725" s="3">
        <f t="shared" si="46"/>
        <v>4435693.0226586917</v>
      </c>
      <c r="D725" s="3">
        <f t="shared" si="47"/>
        <v>23.588876626454294</v>
      </c>
      <c r="E725" s="8">
        <f t="shared" si="44"/>
        <v>102.71428571428571</v>
      </c>
      <c r="F725" s="3"/>
      <c r="G725" s="3"/>
      <c r="H725" s="3"/>
    </row>
    <row r="726" spans="1:8" ht="18.5" x14ac:dyDescent="0.45">
      <c r="A726" s="3">
        <v>720</v>
      </c>
      <c r="B726" s="9">
        <f t="shared" si="45"/>
        <v>0.99867536319016903</v>
      </c>
      <c r="C726" s="3">
        <f t="shared" si="46"/>
        <v>4435716.4931454547</v>
      </c>
      <c r="D726" s="3">
        <f t="shared" si="47"/>
        <v>23.470486762933433</v>
      </c>
      <c r="E726" s="8">
        <f t="shared" si="44"/>
        <v>102.85714285714286</v>
      </c>
      <c r="F726" s="3"/>
      <c r="G726" s="3"/>
      <c r="H726" s="3"/>
    </row>
    <row r="727" spans="1:8" ht="18.5" x14ac:dyDescent="0.45">
      <c r="A727" s="3">
        <v>721</v>
      </c>
      <c r="B727" s="9">
        <f t="shared" si="45"/>
        <v>0.99868062093964238</v>
      </c>
      <c r="C727" s="3">
        <f t="shared" si="46"/>
        <v>4435739.8459655158</v>
      </c>
      <c r="D727" s="3">
        <f t="shared" si="47"/>
        <v>23.352820061147213</v>
      </c>
      <c r="E727" s="8">
        <f t="shared" si="44"/>
        <v>103</v>
      </c>
      <c r="F727" s="3"/>
      <c r="G727" s="3"/>
      <c r="H727" s="3"/>
    </row>
    <row r="728" spans="1:8" ht="18.5" x14ac:dyDescent="0.45">
      <c r="A728" s="3">
        <v>722</v>
      </c>
      <c r="B728" s="9">
        <f t="shared" si="45"/>
        <v>0.99868585235879115</v>
      </c>
      <c r="C728" s="3">
        <f t="shared" si="46"/>
        <v>4435763.0818368066</v>
      </c>
      <c r="D728" s="3">
        <f t="shared" si="47"/>
        <v>23.235871290788054</v>
      </c>
      <c r="E728" s="8">
        <f t="shared" si="44"/>
        <v>103.14285714285714</v>
      </c>
      <c r="F728" s="3"/>
      <c r="G728" s="3"/>
      <c r="H728" s="3"/>
    </row>
    <row r="729" spans="1:8" ht="18.5" x14ac:dyDescent="0.45">
      <c r="A729" s="3">
        <v>723</v>
      </c>
      <c r="B729" s="9">
        <f t="shared" si="45"/>
        <v>0.9986910576080853</v>
      </c>
      <c r="C729" s="3">
        <f t="shared" si="46"/>
        <v>4435786.2014720719</v>
      </c>
      <c r="D729" s="3">
        <f t="shared" si="47"/>
        <v>23.119635265320539</v>
      </c>
      <c r="E729" s="8">
        <f t="shared" si="44"/>
        <v>103.28571428571429</v>
      </c>
      <c r="F729" s="3"/>
      <c r="G729" s="3"/>
      <c r="H729" s="3"/>
    </row>
    <row r="730" spans="1:8" ht="18.5" x14ac:dyDescent="0.45">
      <c r="A730" s="3">
        <v>724</v>
      </c>
      <c r="B730" s="9">
        <f t="shared" si="45"/>
        <v>0.99869623684683728</v>
      </c>
      <c r="C730" s="3">
        <f t="shared" si="46"/>
        <v>4435809.205578912</v>
      </c>
      <c r="D730" s="3">
        <f t="shared" si="47"/>
        <v>23.004106840118766</v>
      </c>
      <c r="E730" s="8">
        <f t="shared" si="44"/>
        <v>103.42857142857143</v>
      </c>
      <c r="F730" s="3"/>
      <c r="G730" s="3"/>
      <c r="H730" s="3"/>
    </row>
    <row r="731" spans="1:8" ht="18.5" x14ac:dyDescent="0.45">
      <c r="A731" s="3">
        <v>725</v>
      </c>
      <c r="B731" s="9">
        <f t="shared" si="45"/>
        <v>0.9987013902332107</v>
      </c>
      <c r="C731" s="3">
        <f t="shared" si="46"/>
        <v>4435832.0948598282</v>
      </c>
      <c r="D731" s="3">
        <f t="shared" si="47"/>
        <v>22.889280916191638</v>
      </c>
      <c r="E731" s="8">
        <f t="shared" si="44"/>
        <v>103.57142857142857</v>
      </c>
      <c r="F731" s="3"/>
      <c r="G731" s="3"/>
      <c r="H731" s="3"/>
    </row>
    <row r="732" spans="1:8" ht="18.5" x14ac:dyDescent="0.45">
      <c r="A732" s="3">
        <v>726</v>
      </c>
      <c r="B732" s="9">
        <f t="shared" si="45"/>
        <v>0.99870651792423093</v>
      </c>
      <c r="C732" s="3">
        <f t="shared" si="46"/>
        <v>4435854.8700122638</v>
      </c>
      <c r="D732" s="3">
        <f t="shared" si="47"/>
        <v>22.775152435526252</v>
      </c>
      <c r="E732" s="8">
        <f t="shared" si="44"/>
        <v>103.71428571428571</v>
      </c>
      <c r="F732" s="3"/>
      <c r="G732" s="3"/>
      <c r="H732" s="3"/>
    </row>
    <row r="733" spans="1:8" ht="18.5" x14ac:dyDescent="0.45">
      <c r="A733" s="3">
        <v>727</v>
      </c>
      <c r="B733" s="9">
        <f t="shared" si="45"/>
        <v>0.99871162007579384</v>
      </c>
      <c r="C733" s="3">
        <f t="shared" si="46"/>
        <v>4435877.5317286458</v>
      </c>
      <c r="D733" s="3">
        <f t="shared" si="47"/>
        <v>22.661716382019222</v>
      </c>
      <c r="E733" s="8">
        <f t="shared" si="44"/>
        <v>103.85714285714286</v>
      </c>
      <c r="F733" s="3"/>
      <c r="G733" s="3"/>
      <c r="H733" s="3"/>
    </row>
    <row r="734" spans="1:8" ht="18.5" x14ac:dyDescent="0.45">
      <c r="A734" s="3">
        <v>728</v>
      </c>
      <c r="B734" s="9">
        <f t="shared" si="45"/>
        <v>0.99871669684267528</v>
      </c>
      <c r="C734" s="3">
        <f t="shared" si="46"/>
        <v>4435900.0806964263</v>
      </c>
      <c r="D734" s="3">
        <f t="shared" si="47"/>
        <v>22.548967780545354</v>
      </c>
      <c r="E734" s="8">
        <f t="shared" si="44"/>
        <v>104</v>
      </c>
      <c r="F734" s="3"/>
      <c r="G734" s="3"/>
      <c r="H734" s="3"/>
    </row>
    <row r="735" spans="1:8" ht="18.5" x14ac:dyDescent="0.45">
      <c r="A735" s="3">
        <v>729</v>
      </c>
      <c r="B735" s="9">
        <f t="shared" si="45"/>
        <v>0.99872174837854089</v>
      </c>
      <c r="C735" s="3">
        <f t="shared" si="46"/>
        <v>4435922.517598127</v>
      </c>
      <c r="D735" s="3">
        <f t="shared" si="47"/>
        <v>22.436901700682938</v>
      </c>
      <c r="E735" s="8">
        <f t="shared" si="44"/>
        <v>104.14285714285714</v>
      </c>
      <c r="F735" s="3"/>
      <c r="G735" s="3"/>
      <c r="H735" s="3"/>
    </row>
    <row r="736" spans="1:8" ht="18.5" x14ac:dyDescent="0.45">
      <c r="A736" s="3">
        <v>730</v>
      </c>
      <c r="B736" s="9">
        <f t="shared" si="45"/>
        <v>0.99872677483595507</v>
      </c>
      <c r="C736" s="3">
        <f t="shared" si="46"/>
        <v>4435944.8431113781</v>
      </c>
      <c r="D736" s="3">
        <f t="shared" si="47"/>
        <v>22.325513251125813</v>
      </c>
      <c r="E736" s="8">
        <f t="shared" si="44"/>
        <v>104.28571428571429</v>
      </c>
      <c r="F736" s="3"/>
      <c r="G736" s="3"/>
      <c r="H736" s="3"/>
    </row>
    <row r="737" spans="1:8" ht="18.5" x14ac:dyDescent="0.45">
      <c r="A737" s="3">
        <v>731</v>
      </c>
      <c r="B737" s="9">
        <f t="shared" si="45"/>
        <v>0.99873177636638988</v>
      </c>
      <c r="C737" s="3">
        <f t="shared" si="46"/>
        <v>4435967.0579089569</v>
      </c>
      <c r="D737" s="3">
        <f t="shared" si="47"/>
        <v>22.214797578752041</v>
      </c>
      <c r="E737" s="8">
        <f t="shared" si="44"/>
        <v>104.42857142857143</v>
      </c>
      <c r="F737" s="3"/>
      <c r="G737" s="3"/>
      <c r="H737" s="3"/>
    </row>
    <row r="738" spans="1:8" ht="18.5" x14ac:dyDescent="0.45">
      <c r="A738" s="3">
        <v>732</v>
      </c>
      <c r="B738" s="9">
        <f t="shared" si="45"/>
        <v>0.99873675312023436</v>
      </c>
      <c r="C738" s="3">
        <f t="shared" si="46"/>
        <v>4435989.162658833</v>
      </c>
      <c r="D738" s="3">
        <f t="shared" si="47"/>
        <v>22.104749876074493</v>
      </c>
      <c r="E738" s="8">
        <f t="shared" si="44"/>
        <v>104.57142857142857</v>
      </c>
      <c r="F738" s="3"/>
      <c r="G738" s="3"/>
      <c r="H738" s="3"/>
    </row>
    <row r="739" spans="1:8" ht="18.5" x14ac:dyDescent="0.45">
      <c r="A739" s="3">
        <v>733</v>
      </c>
      <c r="B739" s="9">
        <f t="shared" si="45"/>
        <v>0.99874170524680361</v>
      </c>
      <c r="C739" s="3">
        <f t="shared" si="46"/>
        <v>4436011.158024203</v>
      </c>
      <c r="D739" s="3">
        <f t="shared" si="47"/>
        <v>21.995365370064974</v>
      </c>
      <c r="E739" s="8">
        <f t="shared" si="44"/>
        <v>104.71428571428571</v>
      </c>
      <c r="F739" s="3"/>
      <c r="G739" s="3"/>
      <c r="H739" s="3"/>
    </row>
    <row r="740" spans="1:8" ht="18.5" x14ac:dyDescent="0.45">
      <c r="A740" s="3">
        <v>734</v>
      </c>
      <c r="B740" s="9">
        <f t="shared" si="45"/>
        <v>0.99874663289434751</v>
      </c>
      <c r="C740" s="3">
        <f t="shared" si="46"/>
        <v>4436033.0446635336</v>
      </c>
      <c r="D740" s="3">
        <f t="shared" si="47"/>
        <v>21.886639330536127</v>
      </c>
      <c r="E740" s="8">
        <f t="shared" si="44"/>
        <v>104.85714285714286</v>
      </c>
      <c r="F740" s="3"/>
      <c r="G740" s="3"/>
      <c r="H740" s="3"/>
    </row>
    <row r="741" spans="1:8" ht="18.5" x14ac:dyDescent="0.45">
      <c r="A741" s="3">
        <v>735</v>
      </c>
      <c r="B741" s="9">
        <f t="shared" si="45"/>
        <v>0.9987515362100593</v>
      </c>
      <c r="C741" s="3">
        <f t="shared" si="46"/>
        <v>4436054.8232305991</v>
      </c>
      <c r="D741" s="3">
        <f t="shared" si="47"/>
        <v>21.778567065484822</v>
      </c>
      <c r="E741" s="8">
        <f t="shared" si="44"/>
        <v>105</v>
      </c>
      <c r="F741" s="3"/>
      <c r="G741" s="3"/>
      <c r="H741" s="3"/>
    </row>
    <row r="742" spans="1:8" ht="18.5" x14ac:dyDescent="0.45">
      <c r="A742" s="3">
        <v>736</v>
      </c>
      <c r="B742" s="9">
        <f t="shared" si="45"/>
        <v>0.99875641534008486</v>
      </c>
      <c r="C742" s="3">
        <f t="shared" si="46"/>
        <v>4436076.4943745211</v>
      </c>
      <c r="D742" s="3">
        <f t="shared" si="47"/>
        <v>21.671143922023475</v>
      </c>
      <c r="E742" s="8">
        <f t="shared" si="44"/>
        <v>105.14285714285714</v>
      </c>
      <c r="F742" s="3"/>
      <c r="G742" s="3"/>
      <c r="H742" s="3"/>
    </row>
    <row r="743" spans="1:8" ht="18.5" x14ac:dyDescent="0.45">
      <c r="A743" s="3">
        <v>737</v>
      </c>
      <c r="B743" s="9">
        <f t="shared" si="45"/>
        <v>0.99876127042953089</v>
      </c>
      <c r="C743" s="3">
        <f t="shared" si="46"/>
        <v>4436098.0587398047</v>
      </c>
      <c r="D743" s="3">
        <f t="shared" si="47"/>
        <v>21.564365283586085</v>
      </c>
      <c r="E743" s="8">
        <f t="shared" si="44"/>
        <v>105.28571428571429</v>
      </c>
      <c r="F743" s="3"/>
      <c r="G743" s="3"/>
      <c r="H743" s="3"/>
    </row>
    <row r="744" spans="1:8" ht="18.5" x14ac:dyDescent="0.45">
      <c r="A744" s="3">
        <v>738</v>
      </c>
      <c r="B744" s="9">
        <f t="shared" si="45"/>
        <v>0.9987661016224737</v>
      </c>
      <c r="C744" s="3">
        <f t="shared" si="46"/>
        <v>4436119.5169663792</v>
      </c>
      <c r="D744" s="3">
        <f t="shared" si="47"/>
        <v>21.458226574584842</v>
      </c>
      <c r="E744" s="8">
        <f t="shared" si="44"/>
        <v>105.42857142857143</v>
      </c>
      <c r="F744" s="3"/>
      <c r="G744" s="3"/>
      <c r="H744" s="3"/>
    </row>
    <row r="745" spans="1:8" ht="18.5" x14ac:dyDescent="0.45">
      <c r="A745" s="3">
        <v>739</v>
      </c>
      <c r="B745" s="9">
        <f t="shared" si="45"/>
        <v>0.99877090906196753</v>
      </c>
      <c r="C745" s="3">
        <f t="shared" si="46"/>
        <v>4436140.869689635</v>
      </c>
      <c r="D745" s="3">
        <f t="shared" si="47"/>
        <v>21.352723255753517</v>
      </c>
      <c r="E745" s="8">
        <f t="shared" si="44"/>
        <v>105.57142857142857</v>
      </c>
      <c r="F745" s="3"/>
      <c r="G745" s="3"/>
      <c r="H745" s="3"/>
    </row>
    <row r="746" spans="1:8" ht="18.5" x14ac:dyDescent="0.45">
      <c r="A746" s="3">
        <v>740</v>
      </c>
      <c r="B746" s="9">
        <f t="shared" si="45"/>
        <v>0.99877569289005319</v>
      </c>
      <c r="C746" s="3">
        <f t="shared" si="46"/>
        <v>4436162.1175404601</v>
      </c>
      <c r="D746" s="3">
        <f t="shared" si="47"/>
        <v>21.247850825078785</v>
      </c>
      <c r="E746" s="8">
        <f t="shared" si="44"/>
        <v>105.71428571428571</v>
      </c>
      <c r="F746" s="3"/>
      <c r="G746" s="3"/>
      <c r="H746" s="3"/>
    </row>
    <row r="747" spans="1:8" ht="18.5" x14ac:dyDescent="0.45">
      <c r="A747" s="3">
        <v>741</v>
      </c>
      <c r="B747" s="9">
        <f t="shared" si="45"/>
        <v>0.99878045324776588</v>
      </c>
      <c r="C747" s="3">
        <f t="shared" si="46"/>
        <v>4436183.2611452769</v>
      </c>
      <c r="D747" s="3">
        <f t="shared" si="47"/>
        <v>21.143604816868901</v>
      </c>
      <c r="E747" s="8">
        <f t="shared" si="44"/>
        <v>105.85714285714286</v>
      </c>
      <c r="F747" s="3"/>
      <c r="G747" s="3"/>
      <c r="H747" s="3"/>
    </row>
    <row r="748" spans="1:8" ht="18.5" x14ac:dyDescent="0.45">
      <c r="A748" s="3">
        <v>742</v>
      </c>
      <c r="B748" s="9">
        <f t="shared" si="45"/>
        <v>0.99878519027514423</v>
      </c>
      <c r="C748" s="3">
        <f t="shared" si="46"/>
        <v>4436204.3011260806</v>
      </c>
      <c r="D748" s="3">
        <f t="shared" si="47"/>
        <v>21.039980803616345</v>
      </c>
      <c r="E748" s="8">
        <f t="shared" si="44"/>
        <v>106</v>
      </c>
      <c r="F748" s="3"/>
      <c r="G748" s="3"/>
      <c r="H748" s="3"/>
    </row>
    <row r="749" spans="1:8" ht="18.5" x14ac:dyDescent="0.45">
      <c r="A749" s="3">
        <v>743</v>
      </c>
      <c r="B749" s="9">
        <f t="shared" si="45"/>
        <v>0.9987899041112378</v>
      </c>
      <c r="C749" s="3">
        <f t="shared" si="46"/>
        <v>4436225.2381004738</v>
      </c>
      <c r="D749" s="3">
        <f t="shared" si="47"/>
        <v>20.936974393203855</v>
      </c>
      <c r="E749" s="8">
        <f t="shared" si="44"/>
        <v>106.14285714285714</v>
      </c>
      <c r="F749" s="3"/>
      <c r="G749" s="3"/>
      <c r="H749" s="3"/>
    </row>
    <row r="750" spans="1:8" ht="18.5" x14ac:dyDescent="0.45">
      <c r="A750" s="3">
        <v>744</v>
      </c>
      <c r="B750" s="9">
        <f t="shared" si="45"/>
        <v>0.99879459489411526</v>
      </c>
      <c r="C750" s="3">
        <f t="shared" si="46"/>
        <v>4436246.0726817027</v>
      </c>
      <c r="D750" s="3">
        <f t="shared" si="47"/>
        <v>20.834581228904426</v>
      </c>
      <c r="E750" s="8">
        <f t="shared" si="44"/>
        <v>106.28571428571429</v>
      </c>
      <c r="F750" s="3"/>
      <c r="G750" s="3"/>
      <c r="H750" s="3"/>
    </row>
    <row r="751" spans="1:8" ht="18.5" x14ac:dyDescent="0.45">
      <c r="A751" s="3">
        <v>745</v>
      </c>
      <c r="B751" s="9">
        <f t="shared" si="45"/>
        <v>0.99879926276087283</v>
      </c>
      <c r="C751" s="3">
        <f t="shared" si="46"/>
        <v>4436266.805478693</v>
      </c>
      <c r="D751" s="3">
        <f t="shared" si="47"/>
        <v>20.732796990312636</v>
      </c>
      <c r="E751" s="8">
        <f t="shared" si="44"/>
        <v>106.42857142857143</v>
      </c>
      <c r="F751" s="3"/>
      <c r="G751" s="3"/>
      <c r="H751" s="3"/>
    </row>
    <row r="752" spans="1:8" ht="18.5" x14ac:dyDescent="0.45">
      <c r="A752" s="3">
        <v>746</v>
      </c>
      <c r="B752" s="9">
        <f t="shared" si="45"/>
        <v>0.99880390784764173</v>
      </c>
      <c r="C752" s="3">
        <f t="shared" si="46"/>
        <v>4436287.4370960854</v>
      </c>
      <c r="D752" s="3">
        <f t="shared" si="47"/>
        <v>20.631617392413318</v>
      </c>
      <c r="E752" s="8">
        <f t="shared" si="44"/>
        <v>106.57142857142857</v>
      </c>
      <c r="F752" s="3"/>
      <c r="G752" s="3"/>
      <c r="H752" s="3"/>
    </row>
    <row r="753" spans="1:8" ht="18.5" x14ac:dyDescent="0.45">
      <c r="A753" s="3">
        <v>747</v>
      </c>
      <c r="B753" s="9">
        <f t="shared" si="45"/>
        <v>0.99880853028959604</v>
      </c>
      <c r="C753" s="3">
        <f t="shared" si="46"/>
        <v>4436307.96813427</v>
      </c>
      <c r="D753" s="3">
        <f t="shared" si="47"/>
        <v>20.531038184650242</v>
      </c>
      <c r="E753" s="8">
        <f t="shared" si="44"/>
        <v>106.71428571428571</v>
      </c>
      <c r="F753" s="3"/>
      <c r="G753" s="3"/>
      <c r="H753" s="3"/>
    </row>
    <row r="754" spans="1:8" ht="18.5" x14ac:dyDescent="0.45">
      <c r="A754" s="3">
        <v>748</v>
      </c>
      <c r="B754" s="9">
        <f t="shared" si="45"/>
        <v>0.9988131302209613</v>
      </c>
      <c r="C754" s="3">
        <f t="shared" si="46"/>
        <v>4436328.3991894219</v>
      </c>
      <c r="D754" s="3">
        <f t="shared" si="47"/>
        <v>20.431055151857436</v>
      </c>
      <c r="E754" s="8">
        <f t="shared" si="44"/>
        <v>106.85714285714286</v>
      </c>
      <c r="F754" s="3"/>
      <c r="G754" s="3"/>
      <c r="H754" s="3"/>
    </row>
    <row r="755" spans="1:8" ht="18.5" x14ac:dyDescent="0.45">
      <c r="A755" s="3">
        <v>749</v>
      </c>
      <c r="B755" s="9">
        <f t="shared" si="45"/>
        <v>0.99881770777502099</v>
      </c>
      <c r="C755" s="3">
        <f t="shared" si="46"/>
        <v>4436348.7308535334</v>
      </c>
      <c r="D755" s="3">
        <f t="shared" si="47"/>
        <v>20.331664111465216</v>
      </c>
      <c r="E755" s="8">
        <f t="shared" si="44"/>
        <v>107</v>
      </c>
      <c r="F755" s="3"/>
      <c r="G755" s="3"/>
      <c r="H755" s="3"/>
    </row>
    <row r="756" spans="1:8" ht="18.5" x14ac:dyDescent="0.45">
      <c r="A756" s="3">
        <v>750</v>
      </c>
      <c r="B756" s="9">
        <f t="shared" si="45"/>
        <v>0.99882226308412514</v>
      </c>
      <c r="C756" s="3">
        <f t="shared" si="46"/>
        <v>4436368.9637144506</v>
      </c>
      <c r="D756" s="3">
        <f t="shared" si="47"/>
        <v>20.23286091722548</v>
      </c>
      <c r="E756" s="8">
        <f t="shared" si="44"/>
        <v>107.14285714285714</v>
      </c>
      <c r="F756" s="3"/>
      <c r="G756" s="3"/>
      <c r="H756" s="3"/>
    </row>
    <row r="757" spans="1:8" ht="18.5" x14ac:dyDescent="0.45">
      <c r="A757" s="3">
        <v>751</v>
      </c>
      <c r="B757" s="9">
        <f t="shared" si="45"/>
        <v>0.99882679627969762</v>
      </c>
      <c r="C757" s="3">
        <f t="shared" si="46"/>
        <v>4436389.0983559052</v>
      </c>
      <c r="D757" s="3">
        <f t="shared" si="47"/>
        <v>20.134641454555094</v>
      </c>
      <c r="E757" s="8">
        <f t="shared" si="44"/>
        <v>107.28571428571429</v>
      </c>
      <c r="F757" s="3"/>
      <c r="G757" s="3"/>
      <c r="H757" s="3"/>
    </row>
    <row r="758" spans="1:8" ht="18.5" x14ac:dyDescent="0.45">
      <c r="A758" s="3">
        <v>752</v>
      </c>
      <c r="B758" s="9">
        <f t="shared" si="45"/>
        <v>0.99883130749224336</v>
      </c>
      <c r="C758" s="3">
        <f t="shared" si="46"/>
        <v>4436409.1353575485</v>
      </c>
      <c r="D758" s="3">
        <f t="shared" si="47"/>
        <v>20.037001643329859</v>
      </c>
      <c r="E758" s="8">
        <f t="shared" si="44"/>
        <v>107.42857142857143</v>
      </c>
      <c r="F758" s="3"/>
      <c r="G758" s="3"/>
      <c r="H758" s="3"/>
    </row>
    <row r="759" spans="1:8" ht="18.5" x14ac:dyDescent="0.45">
      <c r="A759" s="3">
        <v>753</v>
      </c>
      <c r="B759" s="9">
        <f t="shared" si="45"/>
        <v>0.99883579685135626</v>
      </c>
      <c r="C759" s="3">
        <f t="shared" si="46"/>
        <v>4436429.0752949836</v>
      </c>
      <c r="D759" s="3">
        <f t="shared" si="47"/>
        <v>19.939937435090542</v>
      </c>
      <c r="E759" s="8">
        <f t="shared" si="44"/>
        <v>107.57142857142857</v>
      </c>
      <c r="F759" s="3"/>
      <c r="G759" s="3"/>
      <c r="H759" s="3"/>
    </row>
    <row r="760" spans="1:8" ht="18.5" x14ac:dyDescent="0.45">
      <c r="A760" s="3">
        <v>754</v>
      </c>
      <c r="B760" s="9">
        <f t="shared" si="45"/>
        <v>0.99884026448572638</v>
      </c>
      <c r="C760" s="3">
        <f t="shared" si="46"/>
        <v>4436448.9187398022</v>
      </c>
      <c r="D760" s="3">
        <f t="shared" si="47"/>
        <v>19.843444818630815</v>
      </c>
      <c r="E760" s="8">
        <f t="shared" si="44"/>
        <v>107.71428571428571</v>
      </c>
      <c r="F760" s="3"/>
      <c r="G760" s="3"/>
      <c r="H760" s="3"/>
    </row>
    <row r="761" spans="1:8" ht="18.5" x14ac:dyDescent="0.45">
      <c r="A761" s="3">
        <v>755</v>
      </c>
      <c r="B761" s="9">
        <f t="shared" si="45"/>
        <v>0.99884471052314694</v>
      </c>
      <c r="C761" s="3">
        <f t="shared" si="46"/>
        <v>4436468.6662596092</v>
      </c>
      <c r="D761" s="3">
        <f t="shared" si="47"/>
        <v>19.747519806958735</v>
      </c>
      <c r="E761" s="8">
        <f t="shared" si="44"/>
        <v>107.85714285714286</v>
      </c>
      <c r="F761" s="3"/>
      <c r="G761" s="3"/>
      <c r="H761" s="3"/>
    </row>
    <row r="762" spans="1:8" ht="18.5" x14ac:dyDescent="0.45">
      <c r="A762" s="3">
        <v>756</v>
      </c>
      <c r="B762" s="9">
        <f t="shared" si="45"/>
        <v>0.99884913509052209</v>
      </c>
      <c r="C762" s="3">
        <f t="shared" si="46"/>
        <v>4436488.3184180632</v>
      </c>
      <c r="D762" s="3">
        <f t="shared" si="47"/>
        <v>19.652158454060555</v>
      </c>
      <c r="E762" s="8">
        <f t="shared" si="44"/>
        <v>108</v>
      </c>
      <c r="F762" s="3"/>
      <c r="G762" s="3"/>
      <c r="H762" s="3"/>
    </row>
    <row r="763" spans="1:8" ht="18.5" x14ac:dyDescent="0.45">
      <c r="A763" s="3">
        <v>757</v>
      </c>
      <c r="B763" s="9">
        <f t="shared" si="45"/>
        <v>0.99885353831387369</v>
      </c>
      <c r="C763" s="3">
        <f t="shared" si="46"/>
        <v>4436507.8757749014</v>
      </c>
      <c r="D763" s="3">
        <f t="shared" si="47"/>
        <v>19.557356838136911</v>
      </c>
      <c r="E763" s="8">
        <f t="shared" si="44"/>
        <v>108.14285714285714</v>
      </c>
      <c r="F763" s="3"/>
      <c r="G763" s="3"/>
      <c r="H763" s="3"/>
    </row>
    <row r="764" spans="1:8" ht="18.5" x14ac:dyDescent="0.45">
      <c r="A764" s="3">
        <v>758</v>
      </c>
      <c r="B764" s="9">
        <f t="shared" si="45"/>
        <v>0.99885792031834852</v>
      </c>
      <c r="C764" s="3">
        <f t="shared" si="46"/>
        <v>4436527.3388859769</v>
      </c>
      <c r="D764" s="3">
        <f t="shared" si="47"/>
        <v>19.46311107557267</v>
      </c>
      <c r="E764" s="8">
        <f t="shared" si="44"/>
        <v>108.28571428571429</v>
      </c>
      <c r="F764" s="3"/>
      <c r="G764" s="3"/>
      <c r="H764" s="3"/>
    </row>
    <row r="765" spans="1:8" ht="18.5" x14ac:dyDescent="0.45">
      <c r="A765" s="3">
        <v>759</v>
      </c>
      <c r="B765" s="9">
        <f t="shared" si="45"/>
        <v>0.9988622812282254</v>
      </c>
      <c r="C765" s="3">
        <f t="shared" si="46"/>
        <v>4436546.7083032858</v>
      </c>
      <c r="D765" s="3">
        <f t="shared" si="47"/>
        <v>19.369417308829725</v>
      </c>
      <c r="E765" s="8">
        <f t="shared" si="44"/>
        <v>108.42857142857143</v>
      </c>
      <c r="F765" s="3"/>
      <c r="G765" s="3"/>
      <c r="H765" s="3"/>
    </row>
    <row r="766" spans="1:8" ht="18.5" x14ac:dyDescent="0.45">
      <c r="A766" s="3">
        <v>760</v>
      </c>
      <c r="B766" s="9">
        <f t="shared" si="45"/>
        <v>0.99886662116692215</v>
      </c>
      <c r="C766" s="3">
        <f t="shared" si="46"/>
        <v>4436565.9845750015</v>
      </c>
      <c r="D766" s="3">
        <f t="shared" si="47"/>
        <v>19.276271715760231</v>
      </c>
      <c r="E766" s="8">
        <f t="shared" si="44"/>
        <v>108.57142857142857</v>
      </c>
      <c r="F766" s="3"/>
      <c r="G766" s="3"/>
      <c r="H766" s="3"/>
    </row>
    <row r="767" spans="1:8" ht="18.5" x14ac:dyDescent="0.45">
      <c r="A767" s="3">
        <v>761</v>
      </c>
      <c r="B767" s="9">
        <f t="shared" si="45"/>
        <v>0.99887094025700218</v>
      </c>
      <c r="C767" s="3">
        <f t="shared" si="46"/>
        <v>4436585.1682455009</v>
      </c>
      <c r="D767" s="3">
        <f t="shared" si="47"/>
        <v>19.183670499362051</v>
      </c>
      <c r="E767" s="8">
        <f t="shared" si="44"/>
        <v>108.71428571428571</v>
      </c>
      <c r="F767" s="3"/>
      <c r="G767" s="3"/>
      <c r="H767" s="3"/>
    </row>
    <row r="768" spans="1:8" ht="18.5" x14ac:dyDescent="0.45">
      <c r="A768" s="3">
        <v>762</v>
      </c>
      <c r="B768" s="9">
        <f t="shared" si="45"/>
        <v>0.9988752386201819</v>
      </c>
      <c r="C768" s="3">
        <f t="shared" si="46"/>
        <v>4436604.2598553998</v>
      </c>
      <c r="D768" s="3">
        <f t="shared" si="47"/>
        <v>19.09160989895463</v>
      </c>
      <c r="E768" s="8">
        <f t="shared" si="44"/>
        <v>108.85714285714286</v>
      </c>
      <c r="F768" s="3"/>
      <c r="G768" s="3"/>
      <c r="H768" s="3"/>
    </row>
    <row r="769" spans="1:8" ht="18.5" x14ac:dyDescent="0.45">
      <c r="A769" s="3">
        <v>763</v>
      </c>
      <c r="B769" s="9">
        <f t="shared" si="45"/>
        <v>0.99887951637733696</v>
      </c>
      <c r="C769" s="3">
        <f t="shared" si="46"/>
        <v>4436623.2599415798</v>
      </c>
      <c r="D769" s="3">
        <f t="shared" si="47"/>
        <v>19.000086179934442</v>
      </c>
      <c r="E769" s="8">
        <f t="shared" si="44"/>
        <v>109</v>
      </c>
      <c r="F769" s="3"/>
      <c r="G769" s="3"/>
      <c r="H769" s="3"/>
    </row>
    <row r="770" spans="1:8" ht="18.5" x14ac:dyDescent="0.45">
      <c r="A770" s="3">
        <v>764</v>
      </c>
      <c r="B770" s="9">
        <f t="shared" si="45"/>
        <v>0.99888377364850955</v>
      </c>
      <c r="C770" s="3">
        <f t="shared" si="46"/>
        <v>4436642.1690372201</v>
      </c>
      <c r="D770" s="3">
        <f t="shared" si="47"/>
        <v>18.909095640294254</v>
      </c>
      <c r="E770" s="8">
        <f t="shared" si="44"/>
        <v>109.14285714285714</v>
      </c>
      <c r="F770" s="3"/>
      <c r="G770" s="3"/>
      <c r="H770" s="3"/>
    </row>
    <row r="771" spans="1:8" ht="18.5" x14ac:dyDescent="0.45">
      <c r="A771" s="3">
        <v>765</v>
      </c>
      <c r="B771" s="9">
        <f t="shared" si="45"/>
        <v>0.99888801055291443</v>
      </c>
      <c r="C771" s="3">
        <f t="shared" si="46"/>
        <v>4436660.9876718251</v>
      </c>
      <c r="D771" s="3">
        <f t="shared" si="47"/>
        <v>18.818634605035186</v>
      </c>
      <c r="E771" s="8">
        <f t="shared" si="44"/>
        <v>109.28571428571429</v>
      </c>
      <c r="F771" s="3"/>
      <c r="G771" s="3"/>
      <c r="H771" s="3"/>
    </row>
    <row r="772" spans="1:8" ht="18.5" x14ac:dyDescent="0.45">
      <c r="A772" s="3">
        <v>766</v>
      </c>
      <c r="B772" s="9">
        <f t="shared" si="45"/>
        <v>0.99889222720894577</v>
      </c>
      <c r="C772" s="3">
        <f t="shared" si="46"/>
        <v>4436679.7163712531</v>
      </c>
      <c r="D772" s="3">
        <f t="shared" si="47"/>
        <v>18.728699428029358</v>
      </c>
      <c r="E772" s="8">
        <f t="shared" si="44"/>
        <v>109.42857142857143</v>
      </c>
      <c r="F772" s="3"/>
      <c r="G772" s="3"/>
      <c r="H772" s="3"/>
    </row>
    <row r="773" spans="1:8" ht="18.5" x14ac:dyDescent="0.45">
      <c r="A773" s="3">
        <v>767</v>
      </c>
      <c r="B773" s="9">
        <f t="shared" si="45"/>
        <v>0.99889642373418419</v>
      </c>
      <c r="C773" s="3">
        <f t="shared" si="46"/>
        <v>4436698.3556577526</v>
      </c>
      <c r="D773" s="3">
        <f t="shared" si="47"/>
        <v>18.639286499470472</v>
      </c>
      <c r="E773" s="8">
        <f t="shared" si="44"/>
        <v>109.57142857142857</v>
      </c>
      <c r="F773" s="3"/>
      <c r="G773" s="3"/>
      <c r="H773" s="3"/>
    </row>
    <row r="774" spans="1:8" ht="18.5" x14ac:dyDescent="0.45">
      <c r="A774" s="3">
        <v>768</v>
      </c>
      <c r="B774" s="9">
        <f t="shared" si="45"/>
        <v>0.99890060024540228</v>
      </c>
      <c r="C774" s="3">
        <f t="shared" si="46"/>
        <v>4436716.9060499789</v>
      </c>
      <c r="D774" s="3">
        <f t="shared" si="47"/>
        <v>18.550392226316035</v>
      </c>
      <c r="E774" s="8">
        <f t="shared" si="44"/>
        <v>109.71428571428571</v>
      </c>
      <c r="F774" s="3"/>
      <c r="G774" s="3"/>
      <c r="H774" s="3"/>
    </row>
    <row r="775" spans="1:8" ht="18.5" x14ac:dyDescent="0.45">
      <c r="A775" s="3">
        <v>769</v>
      </c>
      <c r="B775" s="9">
        <f t="shared" si="45"/>
        <v>0.99890475685857194</v>
      </c>
      <c r="C775" s="3">
        <f t="shared" si="46"/>
        <v>4436735.3680630336</v>
      </c>
      <c r="D775" s="3">
        <f t="shared" si="47"/>
        <v>18.462013054639101</v>
      </c>
      <c r="E775" s="8">
        <f t="shared" ref="E775:E838" si="48">A775/7</f>
        <v>109.85714285714286</v>
      </c>
      <c r="F775" s="3"/>
      <c r="G775" s="3"/>
      <c r="H775" s="3"/>
    </row>
    <row r="776" spans="1:8" ht="18.5" x14ac:dyDescent="0.45">
      <c r="A776" s="3">
        <v>770</v>
      </c>
      <c r="B776" s="9">
        <f t="shared" ref="B776:B839" si="49">LOGNORMDIST(A776,$A$3,$B$3)</f>
        <v>0.99890889368887015</v>
      </c>
      <c r="C776" s="3">
        <f t="shared" ref="C776:C839" si="50">$E$3*B776</f>
        <v>4436753.7422084855</v>
      </c>
      <c r="D776" s="3">
        <f t="shared" ref="D776:D839" si="51">C776-C775</f>
        <v>18.374145451933146</v>
      </c>
      <c r="E776" s="8">
        <f t="shared" si="48"/>
        <v>110</v>
      </c>
      <c r="F776" s="3"/>
      <c r="G776" s="3"/>
      <c r="H776" s="3"/>
    </row>
    <row r="777" spans="1:8" ht="18.5" x14ac:dyDescent="0.45">
      <c r="A777" s="3">
        <v>771</v>
      </c>
      <c r="B777" s="9">
        <f t="shared" si="49"/>
        <v>0.99891301085068551</v>
      </c>
      <c r="C777" s="3">
        <f t="shared" si="50"/>
        <v>4436772.0289944047</v>
      </c>
      <c r="D777" s="3">
        <f t="shared" si="51"/>
        <v>18.286785919219255</v>
      </c>
      <c r="E777" s="8">
        <f t="shared" si="48"/>
        <v>110.14285714285714</v>
      </c>
      <c r="F777" s="3"/>
      <c r="G777" s="3"/>
      <c r="H777" s="3"/>
    </row>
    <row r="778" spans="1:8" ht="18.5" x14ac:dyDescent="0.45">
      <c r="A778" s="3">
        <v>772</v>
      </c>
      <c r="B778" s="9">
        <f t="shared" si="49"/>
        <v>0.99891710845762449</v>
      </c>
      <c r="C778" s="3">
        <f t="shared" si="50"/>
        <v>4436790.2289253846</v>
      </c>
      <c r="D778" s="3">
        <f t="shared" si="51"/>
        <v>18.19993097987026</v>
      </c>
      <c r="E778" s="8">
        <f t="shared" si="48"/>
        <v>110.28571428571429</v>
      </c>
      <c r="F778" s="3"/>
      <c r="G778" s="3"/>
      <c r="H778" s="3"/>
    </row>
    <row r="779" spans="1:8" ht="18.5" x14ac:dyDescent="0.45">
      <c r="A779" s="3">
        <v>773</v>
      </c>
      <c r="B779" s="9">
        <f t="shared" si="49"/>
        <v>0.99892118662251761</v>
      </c>
      <c r="C779" s="3">
        <f t="shared" si="50"/>
        <v>4436808.3425025744</v>
      </c>
      <c r="D779" s="3">
        <f t="shared" si="51"/>
        <v>18.113577189855278</v>
      </c>
      <c r="E779" s="8">
        <f t="shared" si="48"/>
        <v>110.42857142857143</v>
      </c>
      <c r="F779" s="3"/>
      <c r="G779" s="3"/>
      <c r="H779" s="3"/>
    </row>
    <row r="780" spans="1:8" ht="18.5" x14ac:dyDescent="0.45">
      <c r="A780" s="3">
        <v>774</v>
      </c>
      <c r="B780" s="9">
        <f t="shared" si="49"/>
        <v>0.99892524545742534</v>
      </c>
      <c r="C780" s="3">
        <f t="shared" si="50"/>
        <v>4436826.3702237001</v>
      </c>
      <c r="D780" s="3">
        <f t="shared" si="51"/>
        <v>18.027721125632524</v>
      </c>
      <c r="E780" s="8">
        <f t="shared" si="48"/>
        <v>110.57142857142857</v>
      </c>
      <c r="F780" s="3"/>
      <c r="G780" s="3"/>
      <c r="H780" s="3"/>
    </row>
    <row r="781" spans="1:8" ht="18.5" x14ac:dyDescent="0.45">
      <c r="A781" s="3">
        <v>775</v>
      </c>
      <c r="B781" s="9">
        <f t="shared" si="49"/>
        <v>0.99892928507364476</v>
      </c>
      <c r="C781" s="3">
        <f t="shared" si="50"/>
        <v>4436844.312583101</v>
      </c>
      <c r="D781" s="3">
        <f t="shared" si="51"/>
        <v>17.942359400913119</v>
      </c>
      <c r="E781" s="8">
        <f t="shared" si="48"/>
        <v>110.71428571428571</v>
      </c>
      <c r="F781" s="3"/>
      <c r="G781" s="3"/>
      <c r="H781" s="3"/>
    </row>
    <row r="782" spans="1:8" ht="18.5" x14ac:dyDescent="0.45">
      <c r="A782" s="3">
        <v>776</v>
      </c>
      <c r="B782" s="9">
        <f t="shared" si="49"/>
        <v>0.99893330558171489</v>
      </c>
      <c r="C782" s="3">
        <f t="shared" si="50"/>
        <v>4436862.1700717453</v>
      </c>
      <c r="D782" s="3">
        <f t="shared" si="51"/>
        <v>17.857488644309342</v>
      </c>
      <c r="E782" s="8">
        <f t="shared" si="48"/>
        <v>110.85714285714286</v>
      </c>
      <c r="F782" s="3"/>
      <c r="G782" s="3"/>
      <c r="H782" s="3"/>
    </row>
    <row r="783" spans="1:8" ht="18.5" x14ac:dyDescent="0.45">
      <c r="A783" s="3">
        <v>777</v>
      </c>
      <c r="B783" s="9">
        <f t="shared" si="49"/>
        <v>0.99893730709142325</v>
      </c>
      <c r="C783" s="3">
        <f t="shared" si="50"/>
        <v>4436879.9431772651</v>
      </c>
      <c r="D783" s="3">
        <f t="shared" si="51"/>
        <v>17.77310551982373</v>
      </c>
      <c r="E783" s="8">
        <f t="shared" si="48"/>
        <v>111</v>
      </c>
      <c r="F783" s="3"/>
      <c r="G783" s="3"/>
      <c r="H783" s="3"/>
    </row>
    <row r="784" spans="1:8" ht="18.5" x14ac:dyDescent="0.45">
      <c r="A784" s="3">
        <v>778</v>
      </c>
      <c r="B784" s="9">
        <f t="shared" si="49"/>
        <v>0.9989412897118114</v>
      </c>
      <c r="C784" s="3">
        <f t="shared" si="50"/>
        <v>4436897.6323839817</v>
      </c>
      <c r="D784" s="3">
        <f t="shared" si="51"/>
        <v>17.689206716604531</v>
      </c>
      <c r="E784" s="8">
        <f t="shared" si="48"/>
        <v>111.14285714285714</v>
      </c>
      <c r="F784" s="3"/>
      <c r="G784" s="3"/>
      <c r="H784" s="3"/>
    </row>
    <row r="785" spans="1:8" ht="18.5" x14ac:dyDescent="0.45">
      <c r="A785" s="3">
        <v>779</v>
      </c>
      <c r="B785" s="9">
        <f t="shared" si="49"/>
        <v>0.99894525355118091</v>
      </c>
      <c r="C785" s="3">
        <f t="shared" si="50"/>
        <v>4436915.2381729251</v>
      </c>
      <c r="D785" s="3">
        <f t="shared" si="51"/>
        <v>17.605788943357766</v>
      </c>
      <c r="E785" s="8">
        <f t="shared" si="48"/>
        <v>111.28571428571429</v>
      </c>
      <c r="F785" s="3"/>
      <c r="G785" s="3"/>
      <c r="H785" s="3"/>
    </row>
    <row r="786" spans="1:8" ht="18.5" x14ac:dyDescent="0.45">
      <c r="A786" s="3">
        <v>780</v>
      </c>
      <c r="B786" s="9">
        <f t="shared" si="49"/>
        <v>0.9989491987170992</v>
      </c>
      <c r="C786" s="3">
        <f t="shared" si="50"/>
        <v>4436932.7610218674</v>
      </c>
      <c r="D786" s="3">
        <f t="shared" si="51"/>
        <v>17.522848942317069</v>
      </c>
      <c r="E786" s="8">
        <f t="shared" si="48"/>
        <v>111.42857142857143</v>
      </c>
      <c r="F786" s="3"/>
      <c r="G786" s="3"/>
      <c r="H786" s="3"/>
    </row>
    <row r="787" spans="1:8" ht="18.5" x14ac:dyDescent="0.45">
      <c r="A787" s="3">
        <v>781</v>
      </c>
      <c r="B787" s="9">
        <f t="shared" si="49"/>
        <v>0.99895312531640545</v>
      </c>
      <c r="C787" s="3">
        <f t="shared" si="50"/>
        <v>4436950.2014053464</v>
      </c>
      <c r="D787" s="3">
        <f t="shared" si="51"/>
        <v>17.440383478999138</v>
      </c>
      <c r="E787" s="8">
        <f t="shared" si="48"/>
        <v>111.57142857142857</v>
      </c>
      <c r="F787" s="3"/>
      <c r="G787" s="3"/>
      <c r="H787" s="3"/>
    </row>
    <row r="788" spans="1:8" ht="18.5" x14ac:dyDescent="0.45">
      <c r="A788" s="3">
        <v>782</v>
      </c>
      <c r="B788" s="9">
        <f t="shared" si="49"/>
        <v>0.99895703345521614</v>
      </c>
      <c r="C788" s="3">
        <f t="shared" si="50"/>
        <v>4436967.5597946877</v>
      </c>
      <c r="D788" s="3">
        <f t="shared" si="51"/>
        <v>17.358389341272414</v>
      </c>
      <c r="E788" s="8">
        <f t="shared" si="48"/>
        <v>111.71428571428571</v>
      </c>
      <c r="F788" s="3"/>
      <c r="G788" s="3"/>
      <c r="H788" s="3"/>
    </row>
    <row r="789" spans="1:8" ht="18.5" x14ac:dyDescent="0.45">
      <c r="A789" s="3">
        <v>783</v>
      </c>
      <c r="B789" s="9">
        <f t="shared" si="49"/>
        <v>0.99896092323893038</v>
      </c>
      <c r="C789" s="3">
        <f t="shared" si="50"/>
        <v>4436984.8366580335</v>
      </c>
      <c r="D789" s="3">
        <f t="shared" si="51"/>
        <v>17.276863345876336</v>
      </c>
      <c r="E789" s="8">
        <f t="shared" si="48"/>
        <v>111.85714285714286</v>
      </c>
      <c r="F789" s="3"/>
      <c r="G789" s="3"/>
      <c r="H789" s="3"/>
    </row>
    <row r="790" spans="1:8" ht="18.5" x14ac:dyDescent="0.45">
      <c r="A790" s="3">
        <v>784</v>
      </c>
      <c r="B790" s="9">
        <f t="shared" si="49"/>
        <v>0.99896479477223632</v>
      </c>
      <c r="C790" s="3">
        <f t="shared" si="50"/>
        <v>4437002.0324603645</v>
      </c>
      <c r="D790" s="3">
        <f t="shared" si="51"/>
        <v>17.195802330970764</v>
      </c>
      <c r="E790" s="8">
        <f t="shared" si="48"/>
        <v>112</v>
      </c>
      <c r="F790" s="3"/>
      <c r="G790" s="3"/>
      <c r="H790" s="3"/>
    </row>
    <row r="791" spans="1:8" ht="18.5" x14ac:dyDescent="0.45">
      <c r="A791" s="3">
        <v>785</v>
      </c>
      <c r="B791" s="9">
        <f t="shared" si="49"/>
        <v>0.99896864815911612</v>
      </c>
      <c r="C791" s="3">
        <f t="shared" si="50"/>
        <v>4437019.14766353</v>
      </c>
      <c r="D791" s="3">
        <f t="shared" si="51"/>
        <v>17.115203165449202</v>
      </c>
      <c r="E791" s="8">
        <f t="shared" si="48"/>
        <v>112.14285714285714</v>
      </c>
      <c r="F791" s="3"/>
      <c r="G791" s="3"/>
      <c r="H791" s="3"/>
    </row>
    <row r="792" spans="1:8" ht="18.5" x14ac:dyDescent="0.45">
      <c r="A792" s="3">
        <v>786</v>
      </c>
      <c r="B792" s="9">
        <f t="shared" si="49"/>
        <v>0.99897248350285139</v>
      </c>
      <c r="C792" s="3">
        <f t="shared" si="50"/>
        <v>4437036.1827262649</v>
      </c>
      <c r="D792" s="3">
        <f t="shared" si="51"/>
        <v>17.03506273496896</v>
      </c>
      <c r="E792" s="8">
        <f t="shared" si="48"/>
        <v>112.28571428571429</v>
      </c>
      <c r="F792" s="3"/>
      <c r="G792" s="3"/>
      <c r="H792" s="3"/>
    </row>
    <row r="793" spans="1:8" ht="18.5" x14ac:dyDescent="0.45">
      <c r="A793" s="3">
        <v>787</v>
      </c>
      <c r="B793" s="9">
        <f t="shared" si="49"/>
        <v>0.99897630090602907</v>
      </c>
      <c r="C793" s="3">
        <f t="shared" si="50"/>
        <v>4437053.138104219</v>
      </c>
      <c r="D793" s="3">
        <f t="shared" si="51"/>
        <v>16.955377954058349</v>
      </c>
      <c r="E793" s="8">
        <f t="shared" si="48"/>
        <v>112.42857142857143</v>
      </c>
      <c r="F793" s="3"/>
      <c r="G793" s="3"/>
      <c r="H793" s="3"/>
    </row>
    <row r="794" spans="1:8" ht="18.5" x14ac:dyDescent="0.45">
      <c r="A794" s="3">
        <v>788</v>
      </c>
      <c r="B794" s="9">
        <f t="shared" si="49"/>
        <v>0.99898010047054664</v>
      </c>
      <c r="C794" s="3">
        <f t="shared" si="50"/>
        <v>4437070.0142499795</v>
      </c>
      <c r="D794" s="3">
        <f t="shared" si="51"/>
        <v>16.876145760528743</v>
      </c>
      <c r="E794" s="8">
        <f t="shared" si="48"/>
        <v>112.57142857142857</v>
      </c>
      <c r="F794" s="3"/>
      <c r="G794" s="3"/>
      <c r="H794" s="3"/>
    </row>
    <row r="795" spans="1:8" ht="18.5" x14ac:dyDescent="0.45">
      <c r="A795" s="3">
        <v>789</v>
      </c>
      <c r="B795" s="9">
        <f t="shared" si="49"/>
        <v>0.99898388229761736</v>
      </c>
      <c r="C795" s="3">
        <f t="shared" si="50"/>
        <v>4437086.8116130969</v>
      </c>
      <c r="D795" s="3">
        <f t="shared" si="51"/>
        <v>16.797363117337227</v>
      </c>
      <c r="E795" s="8">
        <f t="shared" si="48"/>
        <v>112.71428571428571</v>
      </c>
      <c r="F795" s="3"/>
      <c r="G795" s="3"/>
      <c r="H795" s="3"/>
    </row>
    <row r="796" spans="1:8" ht="18.5" x14ac:dyDescent="0.45">
      <c r="A796" s="3">
        <v>790</v>
      </c>
      <c r="B796" s="9">
        <f t="shared" si="49"/>
        <v>0.99898764648777583</v>
      </c>
      <c r="C796" s="3">
        <f t="shared" si="50"/>
        <v>4437103.5306401048</v>
      </c>
      <c r="D796" s="3">
        <f t="shared" si="51"/>
        <v>16.719027007929981</v>
      </c>
      <c r="E796" s="8">
        <f t="shared" si="48"/>
        <v>112.85714285714286</v>
      </c>
      <c r="F796" s="3"/>
      <c r="G796" s="3"/>
      <c r="H796" s="3"/>
    </row>
    <row r="797" spans="1:8" ht="18.5" x14ac:dyDescent="0.45">
      <c r="A797" s="3">
        <v>791</v>
      </c>
      <c r="B797" s="9">
        <f t="shared" si="49"/>
        <v>0.99899139314088292</v>
      </c>
      <c r="C797" s="3">
        <f t="shared" si="50"/>
        <v>4437120.1717745457</v>
      </c>
      <c r="D797" s="3">
        <f t="shared" si="51"/>
        <v>16.641134440898895</v>
      </c>
      <c r="E797" s="8">
        <f t="shared" si="48"/>
        <v>113</v>
      </c>
      <c r="F797" s="3"/>
      <c r="G797" s="3"/>
      <c r="H797" s="3"/>
    </row>
    <row r="798" spans="1:8" ht="18.5" x14ac:dyDescent="0.45">
      <c r="A798" s="3">
        <v>792</v>
      </c>
      <c r="B798" s="9">
        <f t="shared" si="49"/>
        <v>0.99899512235613153</v>
      </c>
      <c r="C798" s="3">
        <f t="shared" si="50"/>
        <v>4437136.7354569938</v>
      </c>
      <c r="D798" s="3">
        <f t="shared" si="51"/>
        <v>16.563682448118925</v>
      </c>
      <c r="E798" s="8">
        <f t="shared" si="48"/>
        <v>113.14285714285714</v>
      </c>
      <c r="F798" s="3"/>
      <c r="G798" s="3"/>
      <c r="H798" s="3"/>
    </row>
    <row r="799" spans="1:8" ht="18.5" x14ac:dyDescent="0.45">
      <c r="A799" s="3">
        <v>793</v>
      </c>
      <c r="B799" s="9">
        <f t="shared" si="49"/>
        <v>0.99899883423205116</v>
      </c>
      <c r="C799" s="3">
        <f t="shared" si="50"/>
        <v>4437153.2221250786</v>
      </c>
      <c r="D799" s="3">
        <f t="shared" si="51"/>
        <v>16.486668084748089</v>
      </c>
      <c r="E799" s="8">
        <f t="shared" si="48"/>
        <v>113.28571428571429</v>
      </c>
      <c r="F799" s="3"/>
      <c r="G799" s="3"/>
      <c r="H799" s="3"/>
    </row>
    <row r="800" spans="1:8" ht="18.5" x14ac:dyDescent="0.45">
      <c r="A800" s="3">
        <v>794</v>
      </c>
      <c r="B800" s="9">
        <f t="shared" si="49"/>
        <v>0.99900252886651331</v>
      </c>
      <c r="C800" s="3">
        <f t="shared" si="50"/>
        <v>4437169.6322135059</v>
      </c>
      <c r="D800" s="3">
        <f t="shared" si="51"/>
        <v>16.410088427364826</v>
      </c>
      <c r="E800" s="8">
        <f t="shared" si="48"/>
        <v>113.42857142857143</v>
      </c>
      <c r="F800" s="3"/>
      <c r="G800" s="3"/>
      <c r="H800" s="3"/>
    </row>
    <row r="801" spans="1:8" ht="18.5" x14ac:dyDescent="0.45">
      <c r="A801" s="3">
        <v>795</v>
      </c>
      <c r="B801" s="9">
        <f t="shared" si="49"/>
        <v>0.99900620635673687</v>
      </c>
      <c r="C801" s="3">
        <f t="shared" si="50"/>
        <v>4437185.9661540827</v>
      </c>
      <c r="D801" s="3">
        <f t="shared" si="51"/>
        <v>16.333940576761961</v>
      </c>
      <c r="E801" s="8">
        <f t="shared" si="48"/>
        <v>113.57142857142857</v>
      </c>
      <c r="F801" s="3"/>
      <c r="G801" s="3"/>
      <c r="H801" s="3"/>
    </row>
    <row r="802" spans="1:8" ht="18.5" x14ac:dyDescent="0.45">
      <c r="A802" s="3">
        <v>796</v>
      </c>
      <c r="B802" s="9">
        <f t="shared" si="49"/>
        <v>0.9990098667992926</v>
      </c>
      <c r="C802" s="3">
        <f t="shared" si="50"/>
        <v>4437202.2243757378</v>
      </c>
      <c r="D802" s="3">
        <f t="shared" si="51"/>
        <v>16.258221655152738</v>
      </c>
      <c r="E802" s="8">
        <f t="shared" si="48"/>
        <v>113.71428571428571</v>
      </c>
      <c r="F802" s="3"/>
      <c r="G802" s="3"/>
      <c r="H802" s="3"/>
    </row>
    <row r="803" spans="1:8" ht="18.5" x14ac:dyDescent="0.45">
      <c r="A803" s="3">
        <v>797</v>
      </c>
      <c r="B803" s="9">
        <f t="shared" si="49"/>
        <v>0.99901351029010843</v>
      </c>
      <c r="C803" s="3">
        <f t="shared" si="50"/>
        <v>4437218.4073045459</v>
      </c>
      <c r="D803" s="3">
        <f t="shared" si="51"/>
        <v>16.182928808033466</v>
      </c>
      <c r="E803" s="8">
        <f t="shared" si="48"/>
        <v>113.85714285714286</v>
      </c>
      <c r="F803" s="3"/>
      <c r="G803" s="3"/>
      <c r="H803" s="3"/>
    </row>
    <row r="804" spans="1:8" ht="18.5" x14ac:dyDescent="0.45">
      <c r="A804" s="3">
        <v>798</v>
      </c>
      <c r="B804" s="9">
        <f t="shared" si="49"/>
        <v>0.99901713692447447</v>
      </c>
      <c r="C804" s="3">
        <f t="shared" si="50"/>
        <v>4437234.5153637454</v>
      </c>
      <c r="D804" s="3">
        <f t="shared" si="51"/>
        <v>16.108059199526906</v>
      </c>
      <c r="E804" s="8">
        <f t="shared" si="48"/>
        <v>114</v>
      </c>
      <c r="F804" s="3"/>
      <c r="G804" s="3"/>
      <c r="H804" s="3"/>
    </row>
    <row r="805" spans="1:8" ht="18.5" x14ac:dyDescent="0.45">
      <c r="A805" s="3">
        <v>799</v>
      </c>
      <c r="B805" s="9">
        <f t="shared" si="49"/>
        <v>0.99902074679704778</v>
      </c>
      <c r="C805" s="3">
        <f t="shared" si="50"/>
        <v>4437250.5489737671</v>
      </c>
      <c r="D805" s="3">
        <f t="shared" si="51"/>
        <v>16.033610021695495</v>
      </c>
      <c r="E805" s="8">
        <f t="shared" si="48"/>
        <v>114.14285714285714</v>
      </c>
      <c r="F805" s="3"/>
      <c r="G805" s="3"/>
      <c r="H805" s="3"/>
    </row>
    <row r="806" spans="1:8" ht="18.5" x14ac:dyDescent="0.45">
      <c r="A806" s="3">
        <v>800</v>
      </c>
      <c r="B806" s="9">
        <f t="shared" si="49"/>
        <v>0.99902434000185736</v>
      </c>
      <c r="C806" s="3">
        <f t="shared" si="50"/>
        <v>4437266.5085522495</v>
      </c>
      <c r="D806" s="3">
        <f t="shared" si="51"/>
        <v>15.959578482434154</v>
      </c>
      <c r="E806" s="8">
        <f t="shared" si="48"/>
        <v>114.28571428571429</v>
      </c>
      <c r="F806" s="3"/>
      <c r="G806" s="3"/>
      <c r="H806" s="3"/>
    </row>
    <row r="807" spans="1:8" ht="18.5" x14ac:dyDescent="0.45">
      <c r="A807" s="3">
        <v>801</v>
      </c>
      <c r="B807" s="9">
        <f t="shared" si="49"/>
        <v>0.99902791663230883</v>
      </c>
      <c r="C807" s="3">
        <f t="shared" si="50"/>
        <v>4437282.3945140634</v>
      </c>
      <c r="D807" s="3">
        <f t="shared" si="51"/>
        <v>15.885961813852191</v>
      </c>
      <c r="E807" s="8">
        <f t="shared" si="48"/>
        <v>114.42857142857143</v>
      </c>
      <c r="F807" s="3"/>
      <c r="G807" s="3"/>
      <c r="H807" s="3"/>
    </row>
    <row r="808" spans="1:8" ht="18.5" x14ac:dyDescent="0.45">
      <c r="A808" s="3">
        <v>802</v>
      </c>
      <c r="B808" s="9">
        <f t="shared" si="49"/>
        <v>0.9990314767811892</v>
      </c>
      <c r="C808" s="3">
        <f t="shared" si="50"/>
        <v>4437298.2072713301</v>
      </c>
      <c r="D808" s="3">
        <f t="shared" si="51"/>
        <v>15.812757266685367</v>
      </c>
      <c r="E808" s="8">
        <f t="shared" si="48"/>
        <v>114.57142857142857</v>
      </c>
      <c r="F808" s="3"/>
      <c r="G808" s="3"/>
      <c r="H808" s="3"/>
    </row>
    <row r="809" spans="1:8" ht="18.5" x14ac:dyDescent="0.45">
      <c r="A809" s="3">
        <v>803</v>
      </c>
      <c r="B809" s="9">
        <f t="shared" si="49"/>
        <v>0.99903502054067173</v>
      </c>
      <c r="C809" s="3">
        <f t="shared" si="50"/>
        <v>4437313.9472334478</v>
      </c>
      <c r="D809" s="3">
        <f t="shared" si="51"/>
        <v>15.739962117746472</v>
      </c>
      <c r="E809" s="8">
        <f t="shared" si="48"/>
        <v>114.71428571428571</v>
      </c>
      <c r="F809" s="3"/>
      <c r="G809" s="3"/>
      <c r="H809" s="3"/>
    </row>
    <row r="810" spans="1:8" ht="18.5" x14ac:dyDescent="0.45">
      <c r="A810" s="3">
        <v>804</v>
      </c>
      <c r="B810" s="9">
        <f t="shared" si="49"/>
        <v>0.99903854800232084</v>
      </c>
      <c r="C810" s="3">
        <f t="shared" si="50"/>
        <v>4437329.6148071084</v>
      </c>
      <c r="D810" s="3">
        <f t="shared" si="51"/>
        <v>15.667573660612106</v>
      </c>
      <c r="E810" s="8">
        <f t="shared" si="48"/>
        <v>114.85714285714286</v>
      </c>
      <c r="F810" s="3"/>
      <c r="G810" s="3"/>
      <c r="H810" s="3"/>
    </row>
    <row r="811" spans="1:8" ht="18.5" x14ac:dyDescent="0.45">
      <c r="A811" s="3">
        <v>805</v>
      </c>
      <c r="B811" s="9">
        <f t="shared" si="49"/>
        <v>0.9990420592570961</v>
      </c>
      <c r="C811" s="3">
        <f t="shared" si="50"/>
        <v>4437345.2103963178</v>
      </c>
      <c r="D811" s="3">
        <f t="shared" si="51"/>
        <v>15.595589209347963</v>
      </c>
      <c r="E811" s="8">
        <f t="shared" si="48"/>
        <v>115</v>
      </c>
      <c r="F811" s="3"/>
      <c r="G811" s="3"/>
      <c r="H811" s="3"/>
    </row>
    <row r="812" spans="1:8" ht="18.5" x14ac:dyDescent="0.45">
      <c r="A812" s="3">
        <v>806</v>
      </c>
      <c r="B812" s="9">
        <f t="shared" si="49"/>
        <v>0.99904555439535769</v>
      </c>
      <c r="C812" s="3">
        <f t="shared" si="50"/>
        <v>4437360.7344024209</v>
      </c>
      <c r="D812" s="3">
        <f t="shared" si="51"/>
        <v>15.524006103165448</v>
      </c>
      <c r="E812" s="8">
        <f t="shared" si="48"/>
        <v>115.14285714285714</v>
      </c>
      <c r="F812" s="3"/>
      <c r="G812" s="3"/>
      <c r="H812" s="3"/>
    </row>
    <row r="813" spans="1:8" ht="18.5" x14ac:dyDescent="0.45">
      <c r="A813" s="3">
        <v>807</v>
      </c>
      <c r="B813" s="9">
        <f t="shared" si="49"/>
        <v>0.99904903350687024</v>
      </c>
      <c r="C813" s="3">
        <f t="shared" si="50"/>
        <v>4437376.1872241152</v>
      </c>
      <c r="D813" s="3">
        <f t="shared" si="51"/>
        <v>15.45282169431448</v>
      </c>
      <c r="E813" s="8">
        <f t="shared" si="48"/>
        <v>115.28571428571429</v>
      </c>
      <c r="F813" s="3"/>
      <c r="G813" s="3"/>
      <c r="H813" s="3"/>
    </row>
    <row r="814" spans="1:8" ht="18.5" x14ac:dyDescent="0.45">
      <c r="A814" s="3">
        <v>808</v>
      </c>
      <c r="B814" s="9">
        <f t="shared" si="49"/>
        <v>0.99905249668080776</v>
      </c>
      <c r="C814" s="3">
        <f t="shared" si="50"/>
        <v>4437391.5692574754</v>
      </c>
      <c r="D814" s="3">
        <f t="shared" si="51"/>
        <v>15.38203336019069</v>
      </c>
      <c r="E814" s="8">
        <f t="shared" si="48"/>
        <v>115.42857142857143</v>
      </c>
      <c r="F814" s="3"/>
      <c r="G814" s="3"/>
      <c r="H814" s="3"/>
    </row>
    <row r="815" spans="1:8" ht="18.5" x14ac:dyDescent="0.45">
      <c r="A815" s="3">
        <v>809</v>
      </c>
      <c r="B815" s="9">
        <f t="shared" si="49"/>
        <v>0.99905594400575815</v>
      </c>
      <c r="C815" s="3">
        <f t="shared" si="50"/>
        <v>4437406.880895975</v>
      </c>
      <c r="D815" s="3">
        <f t="shared" si="51"/>
        <v>15.311638499610126</v>
      </c>
      <c r="E815" s="8">
        <f t="shared" si="48"/>
        <v>115.57142857142857</v>
      </c>
      <c r="F815" s="3"/>
      <c r="G815" s="3"/>
      <c r="H815" s="3"/>
    </row>
    <row r="816" spans="1:8" ht="18.5" x14ac:dyDescent="0.45">
      <c r="A816" s="3">
        <v>810</v>
      </c>
      <c r="B816" s="9">
        <f t="shared" si="49"/>
        <v>0.99905937556972735</v>
      </c>
      <c r="C816" s="3">
        <f t="shared" si="50"/>
        <v>4437422.1225305013</v>
      </c>
      <c r="D816" s="3">
        <f t="shared" si="51"/>
        <v>15.241634526289999</v>
      </c>
      <c r="E816" s="8">
        <f t="shared" si="48"/>
        <v>115.71428571428571</v>
      </c>
      <c r="F816" s="3"/>
      <c r="G816" s="3"/>
      <c r="H816" s="3"/>
    </row>
    <row r="817" spans="1:8" ht="18.5" x14ac:dyDescent="0.45">
      <c r="A817" s="3">
        <v>811</v>
      </c>
      <c r="B817" s="9">
        <f t="shared" si="49"/>
        <v>0.99906279146014443</v>
      </c>
      <c r="C817" s="3">
        <f t="shared" si="50"/>
        <v>4437437.2945493776</v>
      </c>
      <c r="D817" s="3">
        <f t="shared" si="51"/>
        <v>15.172018876299262</v>
      </c>
      <c r="E817" s="8">
        <f t="shared" si="48"/>
        <v>115.85714285714286</v>
      </c>
      <c r="F817" s="3"/>
      <c r="G817" s="3"/>
      <c r="H817" s="3"/>
    </row>
    <row r="818" spans="1:8" ht="18.5" x14ac:dyDescent="0.45">
      <c r="A818" s="3">
        <v>812</v>
      </c>
      <c r="B818" s="9">
        <f t="shared" si="49"/>
        <v>0.99906619176386491</v>
      </c>
      <c r="C818" s="3">
        <f t="shared" si="50"/>
        <v>4437452.397338382</v>
      </c>
      <c r="D818" s="3">
        <f t="shared" si="51"/>
        <v>15.102789004333317</v>
      </c>
      <c r="E818" s="8">
        <f t="shared" si="48"/>
        <v>116</v>
      </c>
      <c r="F818" s="3"/>
      <c r="G818" s="3"/>
      <c r="H818" s="3"/>
    </row>
    <row r="819" spans="1:8" ht="18.5" x14ac:dyDescent="0.45">
      <c r="A819" s="3">
        <v>813</v>
      </c>
      <c r="B819" s="9">
        <f t="shared" si="49"/>
        <v>0.99906957656717621</v>
      </c>
      <c r="C819" s="3">
        <f t="shared" si="50"/>
        <v>4437467.4312807694</v>
      </c>
      <c r="D819" s="3">
        <f t="shared" si="51"/>
        <v>15.033942387439311</v>
      </c>
      <c r="E819" s="8">
        <f t="shared" si="48"/>
        <v>116.14285714285714</v>
      </c>
      <c r="F819" s="3"/>
      <c r="G819" s="3"/>
      <c r="H819" s="3"/>
    </row>
    <row r="820" spans="1:8" ht="18.5" x14ac:dyDescent="0.45">
      <c r="A820" s="3">
        <v>814</v>
      </c>
      <c r="B820" s="9">
        <f t="shared" si="49"/>
        <v>0.99907294595580121</v>
      </c>
      <c r="C820" s="3">
        <f t="shared" si="50"/>
        <v>4437482.396757287</v>
      </c>
      <c r="D820" s="3">
        <f t="shared" si="51"/>
        <v>14.965476517565548</v>
      </c>
      <c r="E820" s="8">
        <f t="shared" si="48"/>
        <v>116.28571428571429</v>
      </c>
      <c r="F820" s="3"/>
      <c r="G820" s="3"/>
      <c r="H820" s="3"/>
    </row>
    <row r="821" spans="1:8" ht="18.5" x14ac:dyDescent="0.45">
      <c r="A821" s="3">
        <v>815</v>
      </c>
      <c r="B821" s="9">
        <f t="shared" si="49"/>
        <v>0.99907630001490288</v>
      </c>
      <c r="C821" s="3">
        <f t="shared" si="50"/>
        <v>4437497.2941461923</v>
      </c>
      <c r="D821" s="3">
        <f t="shared" si="51"/>
        <v>14.897388905286789</v>
      </c>
      <c r="E821" s="8">
        <f t="shared" si="48"/>
        <v>116.42857142857143</v>
      </c>
      <c r="F821" s="3"/>
      <c r="G821" s="3"/>
      <c r="H821" s="3"/>
    </row>
    <row r="822" spans="1:8" ht="18.5" x14ac:dyDescent="0.45">
      <c r="A822" s="3">
        <v>816</v>
      </c>
      <c r="B822" s="9">
        <f t="shared" si="49"/>
        <v>0.99907963882908835</v>
      </c>
      <c r="C822" s="3">
        <f t="shared" si="50"/>
        <v>4437512.1238232786</v>
      </c>
      <c r="D822" s="3">
        <f t="shared" si="51"/>
        <v>14.8296770863235</v>
      </c>
      <c r="E822" s="8">
        <f t="shared" si="48"/>
        <v>116.57142857142857</v>
      </c>
      <c r="F822" s="3"/>
      <c r="G822" s="3"/>
      <c r="H822" s="3"/>
    </row>
    <row r="823" spans="1:8" ht="18.5" x14ac:dyDescent="0.45">
      <c r="A823" s="3">
        <v>817</v>
      </c>
      <c r="B823" s="9">
        <f t="shared" si="49"/>
        <v>0.99908296248241313</v>
      </c>
      <c r="C823" s="3">
        <f t="shared" si="50"/>
        <v>4437526.8861618862</v>
      </c>
      <c r="D823" s="3">
        <f t="shared" si="51"/>
        <v>14.762338607572019</v>
      </c>
      <c r="E823" s="8">
        <f t="shared" si="48"/>
        <v>116.71428571428571</v>
      </c>
      <c r="F823" s="3"/>
      <c r="G823" s="3"/>
      <c r="H823" s="3"/>
    </row>
    <row r="824" spans="1:8" ht="18.5" x14ac:dyDescent="0.45">
      <c r="A824" s="3">
        <v>818</v>
      </c>
      <c r="B824" s="9">
        <f t="shared" si="49"/>
        <v>0.99908627105838532</v>
      </c>
      <c r="C824" s="3">
        <f t="shared" si="50"/>
        <v>4437541.5815329244</v>
      </c>
      <c r="D824" s="3">
        <f t="shared" si="51"/>
        <v>14.695371038280427</v>
      </c>
      <c r="E824" s="8">
        <f t="shared" si="48"/>
        <v>116.85714285714286</v>
      </c>
      <c r="F824" s="3"/>
      <c r="G824" s="3"/>
      <c r="H824" s="3"/>
    </row>
    <row r="825" spans="1:8" ht="18.5" x14ac:dyDescent="0.45">
      <c r="A825" s="3">
        <v>819</v>
      </c>
      <c r="B825" s="9">
        <f t="shared" si="49"/>
        <v>0.9990895646399699</v>
      </c>
      <c r="C825" s="3">
        <f t="shared" si="50"/>
        <v>4437556.2103048898</v>
      </c>
      <c r="D825" s="3">
        <f t="shared" si="51"/>
        <v>14.628771965391934</v>
      </c>
      <c r="E825" s="8">
        <f t="shared" si="48"/>
        <v>117</v>
      </c>
      <c r="F825" s="3"/>
      <c r="G825" s="3"/>
      <c r="H825" s="3"/>
    </row>
    <row r="826" spans="1:8" ht="18.5" x14ac:dyDescent="0.45">
      <c r="A826" s="3">
        <v>820</v>
      </c>
      <c r="B826" s="9">
        <f t="shared" si="49"/>
        <v>0.99909284330959225</v>
      </c>
      <c r="C826" s="3">
        <f t="shared" si="50"/>
        <v>4437570.7728438852</v>
      </c>
      <c r="D826" s="3">
        <f t="shared" si="51"/>
        <v>14.562538995407522</v>
      </c>
      <c r="E826" s="8">
        <f t="shared" si="48"/>
        <v>117.14285714285714</v>
      </c>
      <c r="F826" s="3"/>
      <c r="G826" s="3"/>
      <c r="H826" s="3"/>
    </row>
    <row r="827" spans="1:8" ht="18.5" x14ac:dyDescent="0.45">
      <c r="A827" s="3">
        <v>821</v>
      </c>
      <c r="B827" s="9">
        <f t="shared" si="49"/>
        <v>0.99909610714914299</v>
      </c>
      <c r="C827" s="3">
        <f t="shared" si="50"/>
        <v>4437585.2695136331</v>
      </c>
      <c r="D827" s="3">
        <f t="shared" si="51"/>
        <v>14.49666974786669</v>
      </c>
      <c r="E827" s="8">
        <f t="shared" si="48"/>
        <v>117.28571428571429</v>
      </c>
      <c r="F827" s="3"/>
      <c r="G827" s="3"/>
      <c r="H827" s="3"/>
    </row>
    <row r="828" spans="1:8" ht="18.5" x14ac:dyDescent="0.45">
      <c r="A828" s="3">
        <v>822</v>
      </c>
      <c r="B828" s="9">
        <f t="shared" si="49"/>
        <v>0.99909935623998136</v>
      </c>
      <c r="C828" s="3">
        <f t="shared" si="50"/>
        <v>4437599.7006755015</v>
      </c>
      <c r="D828" s="3">
        <f t="shared" si="51"/>
        <v>14.431161868385971</v>
      </c>
      <c r="E828" s="8">
        <f t="shared" si="48"/>
        <v>117.42857142857143</v>
      </c>
      <c r="F828" s="3"/>
      <c r="G828" s="3"/>
      <c r="H828" s="3"/>
    </row>
    <row r="829" spans="1:8" ht="18.5" x14ac:dyDescent="0.45">
      <c r="A829" s="3">
        <v>823</v>
      </c>
      <c r="B829" s="9">
        <f t="shared" si="49"/>
        <v>0.99910259066293938</v>
      </c>
      <c r="C829" s="3">
        <f t="shared" si="50"/>
        <v>4437614.0666885115</v>
      </c>
      <c r="D829" s="3">
        <f t="shared" si="51"/>
        <v>14.366013010032475</v>
      </c>
      <c r="E829" s="8">
        <f t="shared" si="48"/>
        <v>117.57142857142857</v>
      </c>
      <c r="F829" s="3"/>
      <c r="G829" s="3"/>
      <c r="H829" s="3"/>
    </row>
    <row r="830" spans="1:8" ht="18.5" x14ac:dyDescent="0.45">
      <c r="A830" s="3">
        <v>824</v>
      </c>
      <c r="B830" s="9">
        <f t="shared" si="49"/>
        <v>0.99910581049832625</v>
      </c>
      <c r="C830" s="3">
        <f t="shared" si="50"/>
        <v>4437628.3679093663</v>
      </c>
      <c r="D830" s="3">
        <f t="shared" si="51"/>
        <v>14.301220854744315</v>
      </c>
      <c r="E830" s="8">
        <f t="shared" si="48"/>
        <v>117.71428571428571</v>
      </c>
      <c r="F830" s="3"/>
      <c r="G830" s="3"/>
      <c r="H830" s="3"/>
    </row>
    <row r="831" spans="1:8" ht="18.5" x14ac:dyDescent="0.45">
      <c r="A831" s="3">
        <v>825</v>
      </c>
      <c r="B831" s="9">
        <f t="shared" si="49"/>
        <v>0.99910901582593148</v>
      </c>
      <c r="C831" s="3">
        <f t="shared" si="50"/>
        <v>4437642.6046924572</v>
      </c>
      <c r="D831" s="3">
        <f t="shared" si="51"/>
        <v>14.236783090978861</v>
      </c>
      <c r="E831" s="8">
        <f t="shared" si="48"/>
        <v>117.85714285714286</v>
      </c>
      <c r="F831" s="3"/>
      <c r="G831" s="3"/>
      <c r="H831" s="3"/>
    </row>
    <row r="832" spans="1:8" ht="18.5" x14ac:dyDescent="0.45">
      <c r="A832" s="3">
        <v>826</v>
      </c>
      <c r="B832" s="9">
        <f t="shared" si="49"/>
        <v>0.99911220672502932</v>
      </c>
      <c r="C832" s="3">
        <f t="shared" si="50"/>
        <v>4437656.7773898905</v>
      </c>
      <c r="D832" s="3">
        <f t="shared" si="51"/>
        <v>14.172697433270514</v>
      </c>
      <c r="E832" s="8">
        <f t="shared" si="48"/>
        <v>118</v>
      </c>
      <c r="F832" s="3"/>
      <c r="G832" s="3"/>
      <c r="H832" s="3"/>
    </row>
    <row r="833" spans="1:8" ht="18.5" x14ac:dyDescent="0.45">
      <c r="A833" s="3">
        <v>827</v>
      </c>
      <c r="B833" s="9">
        <f t="shared" si="49"/>
        <v>0.99911538327438243</v>
      </c>
      <c r="C833" s="3">
        <f t="shared" si="50"/>
        <v>4437670.8863514969</v>
      </c>
      <c r="D833" s="3">
        <f t="shared" si="51"/>
        <v>14.108961606398225</v>
      </c>
      <c r="E833" s="8">
        <f t="shared" si="48"/>
        <v>118.14285714285714</v>
      </c>
      <c r="F833" s="3"/>
      <c r="G833" s="3"/>
      <c r="H833" s="3"/>
    </row>
    <row r="834" spans="1:8" ht="18.5" x14ac:dyDescent="0.45">
      <c r="A834" s="3">
        <v>828</v>
      </c>
      <c r="B834" s="9">
        <f t="shared" si="49"/>
        <v>0.99911854555224588</v>
      </c>
      <c r="C834" s="3">
        <f t="shared" si="50"/>
        <v>4437684.9319248553</v>
      </c>
      <c r="D834" s="3">
        <f t="shared" si="51"/>
        <v>14.045573358424008</v>
      </c>
      <c r="E834" s="8">
        <f t="shared" si="48"/>
        <v>118.28571428571429</v>
      </c>
      <c r="F834" s="3"/>
      <c r="G834" s="3"/>
      <c r="H834" s="3"/>
    </row>
    <row r="835" spans="1:8" ht="18.5" x14ac:dyDescent="0.45">
      <c r="A835" s="3">
        <v>829</v>
      </c>
      <c r="B835" s="9">
        <f t="shared" si="49"/>
        <v>0.99912169363637071</v>
      </c>
      <c r="C835" s="3">
        <f t="shared" si="50"/>
        <v>4437698.9144553039</v>
      </c>
      <c r="D835" s="3">
        <f t="shared" si="51"/>
        <v>13.982530448585749</v>
      </c>
      <c r="E835" s="8">
        <f t="shared" si="48"/>
        <v>118.42857142857143</v>
      </c>
      <c r="F835" s="3"/>
      <c r="G835" s="3"/>
      <c r="H835" s="3"/>
    </row>
    <row r="836" spans="1:8" ht="18.5" x14ac:dyDescent="0.45">
      <c r="A836" s="3">
        <v>830</v>
      </c>
      <c r="B836" s="9">
        <f t="shared" si="49"/>
        <v>0.99912482760400756</v>
      </c>
      <c r="C836" s="3">
        <f t="shared" si="50"/>
        <v>4437712.8342859596</v>
      </c>
      <c r="D836" s="3">
        <f t="shared" si="51"/>
        <v>13.919830655679107</v>
      </c>
      <c r="E836" s="8">
        <f t="shared" si="48"/>
        <v>118.57142857142857</v>
      </c>
      <c r="F836" s="3"/>
      <c r="G836" s="3"/>
      <c r="H836" s="3"/>
    </row>
    <row r="837" spans="1:8" ht="18.5" x14ac:dyDescent="0.45">
      <c r="A837" s="3">
        <v>831</v>
      </c>
      <c r="B837" s="9">
        <f t="shared" si="49"/>
        <v>0.99912794753191103</v>
      </c>
      <c r="C837" s="3">
        <f t="shared" si="50"/>
        <v>4437726.6917577358</v>
      </c>
      <c r="D837" s="3">
        <f t="shared" si="51"/>
        <v>13.85747177619487</v>
      </c>
      <c r="E837" s="8">
        <f t="shared" si="48"/>
        <v>118.71428571428571</v>
      </c>
      <c r="F837" s="3"/>
      <c r="G837" s="3"/>
      <c r="H837" s="3"/>
    </row>
    <row r="838" spans="1:8" ht="18.5" x14ac:dyDescent="0.45">
      <c r="A838" s="3">
        <v>832</v>
      </c>
      <c r="B838" s="9">
        <f t="shared" si="49"/>
        <v>0.99913105349634257</v>
      </c>
      <c r="C838" s="3">
        <f t="shared" si="50"/>
        <v>4437740.4872093555</v>
      </c>
      <c r="D838" s="3">
        <f t="shared" si="51"/>
        <v>13.795451619662344</v>
      </c>
      <c r="E838" s="8">
        <f t="shared" si="48"/>
        <v>118.85714285714286</v>
      </c>
      <c r="F838" s="3"/>
      <c r="G838" s="3"/>
      <c r="H838" s="3"/>
    </row>
    <row r="839" spans="1:8" ht="18.5" x14ac:dyDescent="0.45">
      <c r="A839" s="3">
        <v>833</v>
      </c>
      <c r="B839" s="9">
        <f t="shared" si="49"/>
        <v>0.99913414557307467</v>
      </c>
      <c r="C839" s="3">
        <f t="shared" si="50"/>
        <v>4437754.2209773688</v>
      </c>
      <c r="D839" s="3">
        <f t="shared" si="51"/>
        <v>13.733768013305962</v>
      </c>
      <c r="E839" s="8">
        <f t="shared" ref="E839:E902" si="52">A839/7</f>
        <v>119</v>
      </c>
      <c r="F839" s="3"/>
      <c r="G839" s="3"/>
      <c r="H839" s="3"/>
    </row>
    <row r="840" spans="1:8" ht="18.5" x14ac:dyDescent="0.45">
      <c r="A840" s="3">
        <v>834</v>
      </c>
      <c r="B840" s="9">
        <f t="shared" ref="B840:B903" si="53">LOGNORMDIST(A840,$A$3,$B$3)</f>
        <v>0.99913722383739423</v>
      </c>
      <c r="C840" s="3">
        <f t="shared" ref="C840:C903" si="54">$E$3*B840</f>
        <v>4437767.8933961699</v>
      </c>
      <c r="D840" s="3">
        <f t="shared" ref="D840:D903" si="55">C840-C839</f>
        <v>13.672418801113963</v>
      </c>
      <c r="E840" s="8">
        <f t="shared" si="52"/>
        <v>119.14285714285714</v>
      </c>
      <c r="F840" s="3"/>
      <c r="G840" s="3"/>
      <c r="H840" s="3"/>
    </row>
    <row r="841" spans="1:8" ht="18.5" x14ac:dyDescent="0.45">
      <c r="A841" s="3">
        <v>835</v>
      </c>
      <c r="B841" s="9">
        <f t="shared" si="53"/>
        <v>0.9991402883641064</v>
      </c>
      <c r="C841" s="3">
        <f t="shared" si="54"/>
        <v>4437781.5047980146</v>
      </c>
      <c r="D841" s="3">
        <f t="shared" si="55"/>
        <v>13.611401844769716</v>
      </c>
      <c r="E841" s="8">
        <f t="shared" si="52"/>
        <v>119.28571428571429</v>
      </c>
      <c r="F841" s="3"/>
      <c r="G841" s="3"/>
      <c r="H841" s="3"/>
    </row>
    <row r="842" spans="1:8" ht="18.5" x14ac:dyDescent="0.45">
      <c r="A842" s="3">
        <v>836</v>
      </c>
      <c r="B842" s="9">
        <f t="shared" si="53"/>
        <v>0.99914333922753784</v>
      </c>
      <c r="C842" s="3">
        <f t="shared" si="54"/>
        <v>4437795.0555130318</v>
      </c>
      <c r="D842" s="3">
        <f t="shared" si="55"/>
        <v>13.550715017132461</v>
      </c>
      <c r="E842" s="8">
        <f t="shared" si="52"/>
        <v>119.42857142857143</v>
      </c>
      <c r="F842" s="3"/>
      <c r="G842" s="3"/>
      <c r="H842" s="3"/>
    </row>
    <row r="843" spans="1:8" ht="18.5" x14ac:dyDescent="0.45">
      <c r="A843" s="3">
        <v>837</v>
      </c>
      <c r="B843" s="9">
        <f t="shared" si="53"/>
        <v>0.99914637650154059</v>
      </c>
      <c r="C843" s="3">
        <f t="shared" si="54"/>
        <v>4437808.5458692424</v>
      </c>
      <c r="D843" s="3">
        <f t="shared" si="55"/>
        <v>13.490356210619211</v>
      </c>
      <c r="E843" s="8">
        <f t="shared" si="52"/>
        <v>119.57142857142857</v>
      </c>
      <c r="F843" s="3"/>
      <c r="G843" s="3"/>
      <c r="H843" s="3"/>
    </row>
    <row r="844" spans="1:8" ht="18.5" x14ac:dyDescent="0.45">
      <c r="A844" s="3">
        <v>838</v>
      </c>
      <c r="B844" s="9">
        <f t="shared" si="53"/>
        <v>0.99914940025949528</v>
      </c>
      <c r="C844" s="3">
        <f t="shared" si="54"/>
        <v>4437821.976192574</v>
      </c>
      <c r="D844" s="3">
        <f t="shared" si="55"/>
        <v>13.430323331616819</v>
      </c>
      <c r="E844" s="8">
        <f t="shared" si="52"/>
        <v>119.71428571428571</v>
      </c>
      <c r="F844" s="3"/>
      <c r="G844" s="3"/>
      <c r="H844" s="3"/>
    </row>
    <row r="845" spans="1:8" ht="18.5" x14ac:dyDescent="0.45">
      <c r="A845" s="3">
        <v>839</v>
      </c>
      <c r="B845" s="9">
        <f t="shared" si="53"/>
        <v>0.99915241057431481</v>
      </c>
      <c r="C845" s="3">
        <f t="shared" si="54"/>
        <v>4437835.3468068764</v>
      </c>
      <c r="D845" s="3">
        <f t="shared" si="55"/>
        <v>13.37061430234462</v>
      </c>
      <c r="E845" s="8">
        <f t="shared" si="52"/>
        <v>119.85714285714286</v>
      </c>
      <c r="F845" s="3"/>
      <c r="G845" s="3"/>
      <c r="H845" s="3"/>
    </row>
    <row r="846" spans="1:8" ht="18.5" x14ac:dyDescent="0.45">
      <c r="A846" s="3">
        <v>840</v>
      </c>
      <c r="B846" s="9">
        <f t="shared" si="53"/>
        <v>0.99915540751844756</v>
      </c>
      <c r="C846" s="3">
        <f t="shared" si="54"/>
        <v>4437848.6580339363</v>
      </c>
      <c r="D846" s="3">
        <f t="shared" si="55"/>
        <v>13.311227059923112</v>
      </c>
      <c r="E846" s="8">
        <f t="shared" si="52"/>
        <v>120</v>
      </c>
      <c r="F846" s="3"/>
      <c r="G846" s="3"/>
      <c r="H846" s="3"/>
    </row>
    <row r="847" spans="1:8" ht="18.5" x14ac:dyDescent="0.45">
      <c r="A847" s="3">
        <v>841</v>
      </c>
      <c r="B847" s="9">
        <f t="shared" si="53"/>
        <v>0.99915839116388139</v>
      </c>
      <c r="C847" s="3">
        <f t="shared" si="54"/>
        <v>4437861.9101934955</v>
      </c>
      <c r="D847" s="3">
        <f t="shared" si="55"/>
        <v>13.252159559167922</v>
      </c>
      <c r="E847" s="8">
        <f t="shared" si="52"/>
        <v>120.14285714285714</v>
      </c>
      <c r="F847" s="3"/>
      <c r="G847" s="3"/>
      <c r="H847" s="3"/>
    </row>
    <row r="848" spans="1:8" ht="18.5" x14ac:dyDescent="0.45">
      <c r="A848" s="3">
        <v>842</v>
      </c>
      <c r="B848" s="9">
        <f t="shared" si="53"/>
        <v>0.99916136158214597</v>
      </c>
      <c r="C848" s="3">
        <f t="shared" si="54"/>
        <v>4437875.1036032597</v>
      </c>
      <c r="D848" s="3">
        <f t="shared" si="55"/>
        <v>13.1934097642079</v>
      </c>
      <c r="E848" s="8">
        <f t="shared" si="52"/>
        <v>120.28571428571429</v>
      </c>
      <c r="F848" s="3"/>
      <c r="G848" s="3"/>
      <c r="H848" s="3"/>
    </row>
    <row r="849" spans="1:8" ht="18.5" x14ac:dyDescent="0.45">
      <c r="A849" s="3">
        <v>843</v>
      </c>
      <c r="B849" s="9">
        <f t="shared" si="53"/>
        <v>0.99916431884431745</v>
      </c>
      <c r="C849" s="3">
        <f t="shared" si="54"/>
        <v>4437888.2385789203</v>
      </c>
      <c r="D849" s="3">
        <f t="shared" si="55"/>
        <v>13.134975660592318</v>
      </c>
      <c r="E849" s="8">
        <f t="shared" si="52"/>
        <v>120.42857142857143</v>
      </c>
      <c r="F849" s="3"/>
      <c r="G849" s="3"/>
      <c r="H849" s="3"/>
    </row>
    <row r="850" spans="1:8" ht="18.5" x14ac:dyDescent="0.45">
      <c r="A850" s="3">
        <v>844</v>
      </c>
      <c r="B850" s="9">
        <f t="shared" si="53"/>
        <v>0.99916726302102066</v>
      </c>
      <c r="C850" s="3">
        <f t="shared" si="54"/>
        <v>4437901.3154341653</v>
      </c>
      <c r="D850" s="3">
        <f t="shared" si="55"/>
        <v>13.076855245046318</v>
      </c>
      <c r="E850" s="8">
        <f t="shared" si="52"/>
        <v>120.57142857142857</v>
      </c>
      <c r="F850" s="3"/>
      <c r="G850" s="3"/>
      <c r="H850" s="3"/>
    </row>
    <row r="851" spans="1:8" ht="18.5" x14ac:dyDescent="0.45">
      <c r="A851" s="3">
        <v>845</v>
      </c>
      <c r="B851" s="9">
        <f t="shared" si="53"/>
        <v>0.99917019418243314</v>
      </c>
      <c r="C851" s="3">
        <f t="shared" si="54"/>
        <v>4437914.3344806954</v>
      </c>
      <c r="D851" s="3">
        <f t="shared" si="55"/>
        <v>13.019046530127525</v>
      </c>
      <c r="E851" s="8">
        <f t="shared" si="52"/>
        <v>120.71428571428571</v>
      </c>
      <c r="F851" s="3"/>
      <c r="G851" s="3"/>
      <c r="H851" s="3"/>
    </row>
    <row r="852" spans="1:8" ht="18.5" x14ac:dyDescent="0.45">
      <c r="A852" s="3">
        <v>846</v>
      </c>
      <c r="B852" s="9">
        <f t="shared" si="53"/>
        <v>0.99917311239828799</v>
      </c>
      <c r="C852" s="3">
        <f t="shared" si="54"/>
        <v>4437927.2960282359</v>
      </c>
      <c r="D852" s="3">
        <f t="shared" si="55"/>
        <v>12.96154754050076</v>
      </c>
      <c r="E852" s="8">
        <f t="shared" si="52"/>
        <v>120.85714285714286</v>
      </c>
      <c r="F852" s="3"/>
      <c r="G852" s="3"/>
      <c r="H852" s="3"/>
    </row>
    <row r="853" spans="1:8" ht="18.5" x14ac:dyDescent="0.45">
      <c r="A853" s="3">
        <v>847</v>
      </c>
      <c r="B853" s="9">
        <f t="shared" si="53"/>
        <v>0.99917601773787756</v>
      </c>
      <c r="C853" s="3">
        <f t="shared" si="54"/>
        <v>4437940.2003845572</v>
      </c>
      <c r="D853" s="3">
        <f t="shared" si="55"/>
        <v>12.904356321319938</v>
      </c>
      <c r="E853" s="8">
        <f t="shared" si="52"/>
        <v>121</v>
      </c>
      <c r="F853" s="3"/>
      <c r="G853" s="3"/>
      <c r="H853" s="3"/>
    </row>
    <row r="854" spans="1:8" ht="18.5" x14ac:dyDescent="0.45">
      <c r="A854" s="3">
        <v>848</v>
      </c>
      <c r="B854" s="9">
        <f t="shared" si="53"/>
        <v>0.99917891027005623</v>
      </c>
      <c r="C854" s="3">
        <f t="shared" si="54"/>
        <v>4437953.0478554815</v>
      </c>
      <c r="D854" s="3">
        <f t="shared" si="55"/>
        <v>12.847470924258232</v>
      </c>
      <c r="E854" s="8">
        <f t="shared" si="52"/>
        <v>121.14285714285714</v>
      </c>
      <c r="F854" s="3"/>
      <c r="G854" s="3"/>
      <c r="H854" s="3"/>
    </row>
    <row r="855" spans="1:8" ht="18.5" x14ac:dyDescent="0.45">
      <c r="A855" s="3">
        <v>849</v>
      </c>
      <c r="B855" s="9">
        <f t="shared" si="53"/>
        <v>0.9991817900632437</v>
      </c>
      <c r="C855" s="3">
        <f t="shared" si="54"/>
        <v>4437965.838744903</v>
      </c>
      <c r="D855" s="3">
        <f t="shared" si="55"/>
        <v>12.790889421477914</v>
      </c>
      <c r="E855" s="8">
        <f t="shared" si="52"/>
        <v>121.28571428571429</v>
      </c>
      <c r="F855" s="3"/>
      <c r="G855" s="3"/>
      <c r="H855" s="3"/>
    </row>
    <row r="856" spans="1:8" ht="18.5" x14ac:dyDescent="0.45">
      <c r="A856" s="3">
        <v>850</v>
      </c>
      <c r="B856" s="9">
        <f t="shared" si="53"/>
        <v>0.99918465718542859</v>
      </c>
      <c r="C856" s="3">
        <f t="shared" si="54"/>
        <v>4437978.5733547993</v>
      </c>
      <c r="D856" s="3">
        <f t="shared" si="55"/>
        <v>12.734609896317124</v>
      </c>
      <c r="E856" s="8">
        <f t="shared" si="52"/>
        <v>121.42857142857143</v>
      </c>
      <c r="F856" s="3"/>
      <c r="G856" s="3"/>
      <c r="H856" s="3"/>
    </row>
    <row r="857" spans="1:8" ht="18.5" x14ac:dyDescent="0.45">
      <c r="A857" s="3">
        <v>851</v>
      </c>
      <c r="B857" s="9">
        <f t="shared" si="53"/>
        <v>0.99918751170417097</v>
      </c>
      <c r="C857" s="3">
        <f t="shared" si="54"/>
        <v>4437991.2519852454</v>
      </c>
      <c r="D857" s="3">
        <f t="shared" si="55"/>
        <v>12.678630446083844</v>
      </c>
      <c r="E857" s="8">
        <f t="shared" si="52"/>
        <v>121.57142857142857</v>
      </c>
      <c r="F857" s="3"/>
      <c r="G857" s="3"/>
      <c r="H857" s="3"/>
    </row>
    <row r="858" spans="1:8" ht="18.5" x14ac:dyDescent="0.45">
      <c r="A858" s="3">
        <v>852</v>
      </c>
      <c r="B858" s="9">
        <f t="shared" si="53"/>
        <v>0.99919035368660569</v>
      </c>
      <c r="C858" s="3">
        <f t="shared" si="54"/>
        <v>4438003.8749344274</v>
      </c>
      <c r="D858" s="3">
        <f t="shared" si="55"/>
        <v>12.622949182055891</v>
      </c>
      <c r="E858" s="8">
        <f t="shared" si="52"/>
        <v>121.71428571428571</v>
      </c>
      <c r="F858" s="3"/>
      <c r="G858" s="3"/>
      <c r="H858" s="3"/>
    </row>
    <row r="859" spans="1:8" ht="18.5" x14ac:dyDescent="0.45">
      <c r="A859" s="3">
        <v>853</v>
      </c>
      <c r="B859" s="9">
        <f t="shared" si="53"/>
        <v>0.99919318319944594</v>
      </c>
      <c r="C859" s="3">
        <f t="shared" si="54"/>
        <v>4438016.4424986588</v>
      </c>
      <c r="D859" s="3">
        <f t="shared" si="55"/>
        <v>12.567564231343567</v>
      </c>
      <c r="E859" s="8">
        <f t="shared" si="52"/>
        <v>121.85714285714286</v>
      </c>
      <c r="F859" s="3"/>
      <c r="G859" s="3"/>
      <c r="H859" s="3"/>
    </row>
    <row r="860" spans="1:8" ht="18.5" x14ac:dyDescent="0.45">
      <c r="A860" s="3">
        <v>854</v>
      </c>
      <c r="B860" s="9">
        <f t="shared" si="53"/>
        <v>0.99919600030898548</v>
      </c>
      <c r="C860" s="3">
        <f t="shared" si="54"/>
        <v>4438028.9549723901</v>
      </c>
      <c r="D860" s="3">
        <f t="shared" si="55"/>
        <v>12.512473731301725</v>
      </c>
      <c r="E860" s="8">
        <f t="shared" si="52"/>
        <v>122</v>
      </c>
      <c r="F860" s="3"/>
      <c r="G860" s="3"/>
      <c r="H860" s="3"/>
    </row>
    <row r="861" spans="1:8" ht="18.5" x14ac:dyDescent="0.45">
      <c r="A861" s="3">
        <v>855</v>
      </c>
      <c r="B861" s="9">
        <f t="shared" si="53"/>
        <v>0.99919880508110248</v>
      </c>
      <c r="C861" s="3">
        <f t="shared" si="54"/>
        <v>4438041.4126482252</v>
      </c>
      <c r="D861" s="3">
        <f t="shared" si="55"/>
        <v>12.457675835117698</v>
      </c>
      <c r="E861" s="8">
        <f t="shared" si="52"/>
        <v>122.14285714285714</v>
      </c>
      <c r="F861" s="3"/>
      <c r="G861" s="3"/>
      <c r="H861" s="3"/>
    </row>
    <row r="862" spans="1:8" ht="18.5" x14ac:dyDescent="0.45">
      <c r="A862" s="3">
        <v>856</v>
      </c>
      <c r="B862" s="9">
        <f t="shared" si="53"/>
        <v>0.99920159758126192</v>
      </c>
      <c r="C862" s="3">
        <f t="shared" si="54"/>
        <v>4438053.8158169333</v>
      </c>
      <c r="D862" s="3">
        <f t="shared" si="55"/>
        <v>12.403168708086014</v>
      </c>
      <c r="E862" s="8">
        <f t="shared" si="52"/>
        <v>122.28571428571429</v>
      </c>
      <c r="F862" s="3"/>
      <c r="G862" s="3"/>
      <c r="H862" s="3"/>
    </row>
    <row r="863" spans="1:8" ht="18.5" x14ac:dyDescent="0.45">
      <c r="A863" s="3">
        <v>857</v>
      </c>
      <c r="B863" s="9">
        <f t="shared" si="53"/>
        <v>0.9992043778745191</v>
      </c>
      <c r="C863" s="3">
        <f t="shared" si="54"/>
        <v>4438066.1647674637</v>
      </c>
      <c r="D863" s="3">
        <f t="shared" si="55"/>
        <v>12.348950530402362</v>
      </c>
      <c r="E863" s="8">
        <f t="shared" si="52"/>
        <v>122.42857142857143</v>
      </c>
      <c r="F863" s="3"/>
      <c r="G863" s="3"/>
      <c r="H863" s="3"/>
    </row>
    <row r="864" spans="1:8" ht="18.5" x14ac:dyDescent="0.45">
      <c r="A864" s="3">
        <v>858</v>
      </c>
      <c r="B864" s="9">
        <f t="shared" si="53"/>
        <v>0.99920714602552196</v>
      </c>
      <c r="C864" s="3">
        <f t="shared" si="54"/>
        <v>4438078.4597869581</v>
      </c>
      <c r="D864" s="3">
        <f t="shared" si="55"/>
        <v>12.295019494369626</v>
      </c>
      <c r="E864" s="8">
        <f t="shared" si="52"/>
        <v>122.57142857142857</v>
      </c>
      <c r="F864" s="3"/>
      <c r="G864" s="3"/>
      <c r="H864" s="3"/>
    </row>
    <row r="865" spans="1:8" ht="18.5" x14ac:dyDescent="0.45">
      <c r="A865" s="3">
        <v>859</v>
      </c>
      <c r="B865" s="9">
        <f t="shared" si="53"/>
        <v>0.9992099020985149</v>
      </c>
      <c r="C865" s="3">
        <f t="shared" si="54"/>
        <v>4438090.7011607634</v>
      </c>
      <c r="D865" s="3">
        <f t="shared" si="55"/>
        <v>12.241373805329204</v>
      </c>
      <c r="E865" s="8">
        <f t="shared" si="52"/>
        <v>122.71428571428571</v>
      </c>
      <c r="F865" s="3"/>
      <c r="G865" s="3"/>
      <c r="H865" s="3"/>
    </row>
    <row r="866" spans="1:8" ht="18.5" x14ac:dyDescent="0.45">
      <c r="A866" s="3">
        <v>860</v>
      </c>
      <c r="B866" s="9">
        <f t="shared" si="53"/>
        <v>0.99921264615734084</v>
      </c>
      <c r="C866" s="3">
        <f t="shared" si="54"/>
        <v>4438102.8891724451</v>
      </c>
      <c r="D866" s="3">
        <f t="shared" si="55"/>
        <v>12.18801168166101</v>
      </c>
      <c r="E866" s="8">
        <f t="shared" si="52"/>
        <v>122.85714285714286</v>
      </c>
      <c r="F866" s="3"/>
      <c r="G866" s="3"/>
      <c r="H866" s="3"/>
    </row>
    <row r="867" spans="1:8" ht="18.5" x14ac:dyDescent="0.45">
      <c r="A867" s="3">
        <v>861</v>
      </c>
      <c r="B867" s="9">
        <f t="shared" si="53"/>
        <v>0.9992153782654446</v>
      </c>
      <c r="C867" s="3">
        <f t="shared" si="54"/>
        <v>4438115.0241037989</v>
      </c>
      <c r="D867" s="3">
        <f t="shared" si="55"/>
        <v>12.134931353852153</v>
      </c>
      <c r="E867" s="8">
        <f t="shared" si="52"/>
        <v>123</v>
      </c>
      <c r="F867" s="3"/>
      <c r="G867" s="3"/>
      <c r="H867" s="3"/>
    </row>
    <row r="868" spans="1:8" ht="18.5" x14ac:dyDescent="0.45">
      <c r="A868" s="3">
        <v>862</v>
      </c>
      <c r="B868" s="9">
        <f t="shared" si="53"/>
        <v>0.99921809848587584</v>
      </c>
      <c r="C868" s="3">
        <f t="shared" si="54"/>
        <v>4438127.1062348662</v>
      </c>
      <c r="D868" s="3">
        <f t="shared" si="55"/>
        <v>12.082131067290902</v>
      </c>
      <c r="E868" s="8">
        <f t="shared" si="52"/>
        <v>123.14285714285714</v>
      </c>
      <c r="F868" s="3"/>
      <c r="G868" s="3"/>
      <c r="H868" s="3"/>
    </row>
    <row r="869" spans="1:8" ht="18.5" x14ac:dyDescent="0.45">
      <c r="A869" s="3">
        <v>863</v>
      </c>
      <c r="B869" s="9">
        <f t="shared" si="53"/>
        <v>0.99922080688129145</v>
      </c>
      <c r="C869" s="3">
        <f t="shared" si="54"/>
        <v>4438139.1358439438</v>
      </c>
      <c r="D869" s="3">
        <f t="shared" si="55"/>
        <v>12.029609077610075</v>
      </c>
      <c r="E869" s="8">
        <f t="shared" si="52"/>
        <v>123.28571428571429</v>
      </c>
      <c r="F869" s="3"/>
      <c r="G869" s="3"/>
      <c r="H869" s="3"/>
    </row>
    <row r="870" spans="1:8" ht="18.5" x14ac:dyDescent="0.45">
      <c r="A870" s="3">
        <v>864</v>
      </c>
      <c r="B870" s="9">
        <f t="shared" si="53"/>
        <v>0.99922350351395883</v>
      </c>
      <c r="C870" s="3">
        <f t="shared" si="54"/>
        <v>4438151.1132075991</v>
      </c>
      <c r="D870" s="3">
        <f t="shared" si="55"/>
        <v>11.977363655343652</v>
      </c>
      <c r="E870" s="8">
        <f t="shared" si="52"/>
        <v>123.42857142857143</v>
      </c>
      <c r="F870" s="3"/>
      <c r="G870" s="3"/>
      <c r="H870" s="3"/>
    </row>
    <row r="871" spans="1:8" ht="18.5" x14ac:dyDescent="0.45">
      <c r="A871" s="3">
        <v>865</v>
      </c>
      <c r="B871" s="9">
        <f t="shared" si="53"/>
        <v>0.99922618844575839</v>
      </c>
      <c r="C871" s="3">
        <f t="shared" si="54"/>
        <v>4438163.0386006804</v>
      </c>
      <c r="D871" s="3">
        <f t="shared" si="55"/>
        <v>11.925393081270158</v>
      </c>
      <c r="E871" s="8">
        <f t="shared" si="52"/>
        <v>123.57142857142857</v>
      </c>
      <c r="F871" s="3"/>
      <c r="G871" s="3"/>
      <c r="H871" s="3"/>
    </row>
    <row r="872" spans="1:8" ht="18.5" x14ac:dyDescent="0.45">
      <c r="A872" s="3">
        <v>866</v>
      </c>
      <c r="B872" s="9">
        <f t="shared" si="53"/>
        <v>0.99922886173818659</v>
      </c>
      <c r="C872" s="3">
        <f t="shared" si="54"/>
        <v>4438174.9122963296</v>
      </c>
      <c r="D872" s="3">
        <f t="shared" si="55"/>
        <v>11.873695649206638</v>
      </c>
      <c r="E872" s="8">
        <f t="shared" si="52"/>
        <v>123.71428571428571</v>
      </c>
      <c r="F872" s="3"/>
      <c r="G872" s="3"/>
      <c r="H872" s="3"/>
    </row>
    <row r="873" spans="1:8" ht="18.5" x14ac:dyDescent="0.45">
      <c r="A873" s="3">
        <v>867</v>
      </c>
      <c r="B873" s="9">
        <f t="shared" si="53"/>
        <v>0.99923152345235855</v>
      </c>
      <c r="C873" s="3">
        <f t="shared" si="54"/>
        <v>4438186.7345659956</v>
      </c>
      <c r="D873" s="3">
        <f t="shared" si="55"/>
        <v>11.822269666008651</v>
      </c>
      <c r="E873" s="8">
        <f t="shared" si="52"/>
        <v>123.85714285714286</v>
      </c>
      <c r="F873" s="3"/>
      <c r="G873" s="3"/>
      <c r="H873" s="3"/>
    </row>
    <row r="874" spans="1:8" ht="18.5" x14ac:dyDescent="0.45">
      <c r="A874" s="3">
        <v>868</v>
      </c>
      <c r="B874" s="9">
        <f t="shared" si="53"/>
        <v>0.99923417364901057</v>
      </c>
      <c r="C874" s="3">
        <f t="shared" si="54"/>
        <v>4438198.5056794453</v>
      </c>
      <c r="D874" s="3">
        <f t="shared" si="55"/>
        <v>11.771113449707627</v>
      </c>
      <c r="E874" s="8">
        <f t="shared" si="52"/>
        <v>124</v>
      </c>
      <c r="F874" s="3"/>
      <c r="G874" s="3"/>
      <c r="H874" s="3"/>
    </row>
    <row r="875" spans="1:8" ht="18.5" x14ac:dyDescent="0.45">
      <c r="A875" s="3">
        <v>869</v>
      </c>
      <c r="B875" s="9">
        <f t="shared" si="53"/>
        <v>0.99923681238850348</v>
      </c>
      <c r="C875" s="3">
        <f t="shared" si="54"/>
        <v>4438210.2259047767</v>
      </c>
      <c r="D875" s="3">
        <f t="shared" si="55"/>
        <v>11.720225331373513</v>
      </c>
      <c r="E875" s="8">
        <f t="shared" si="52"/>
        <v>124.14285714285714</v>
      </c>
      <c r="F875" s="3"/>
      <c r="G875" s="3"/>
      <c r="H875" s="3"/>
    </row>
    <row r="876" spans="1:8" ht="18.5" x14ac:dyDescent="0.45">
      <c r="A876" s="3">
        <v>870</v>
      </c>
      <c r="B876" s="9">
        <f t="shared" si="53"/>
        <v>0.99923943973082441</v>
      </c>
      <c r="C876" s="3">
        <f t="shared" si="54"/>
        <v>4438221.89550843</v>
      </c>
      <c r="D876" s="3">
        <f t="shared" si="55"/>
        <v>11.669603653252125</v>
      </c>
      <c r="E876" s="8">
        <f t="shared" si="52"/>
        <v>124.28571428571429</v>
      </c>
      <c r="F876" s="3"/>
      <c r="G876" s="3"/>
      <c r="H876" s="3"/>
    </row>
    <row r="877" spans="1:8" ht="18.5" x14ac:dyDescent="0.45">
      <c r="A877" s="3">
        <v>871</v>
      </c>
      <c r="B877" s="9">
        <f t="shared" si="53"/>
        <v>0.99924205573559033</v>
      </c>
      <c r="C877" s="3">
        <f t="shared" si="54"/>
        <v>4438233.5147551978</v>
      </c>
      <c r="D877" s="3">
        <f t="shared" si="55"/>
        <v>11.619246767833829</v>
      </c>
      <c r="E877" s="8">
        <f t="shared" si="52"/>
        <v>124.42857142857143</v>
      </c>
      <c r="F877" s="3"/>
      <c r="G877" s="3"/>
      <c r="H877" s="3"/>
    </row>
    <row r="878" spans="1:8" ht="18.5" x14ac:dyDescent="0.45">
      <c r="A878" s="3">
        <v>872</v>
      </c>
      <c r="B878" s="9">
        <f t="shared" si="53"/>
        <v>0.99924466046205018</v>
      </c>
      <c r="C878" s="3">
        <f t="shared" si="54"/>
        <v>4438245.0839082422</v>
      </c>
      <c r="D878" s="3">
        <f t="shared" si="55"/>
        <v>11.569153044372797</v>
      </c>
      <c r="E878" s="8">
        <f t="shared" si="52"/>
        <v>124.57142857142857</v>
      </c>
      <c r="F878" s="3"/>
      <c r="G878" s="3"/>
      <c r="H878" s="3"/>
    </row>
    <row r="879" spans="1:8" ht="18.5" x14ac:dyDescent="0.45">
      <c r="A879" s="3">
        <v>873</v>
      </c>
      <c r="B879" s="9">
        <f t="shared" si="53"/>
        <v>0.99924725396908765</v>
      </c>
      <c r="C879" s="3">
        <f t="shared" si="54"/>
        <v>4438256.6032290999</v>
      </c>
      <c r="D879" s="3">
        <f t="shared" si="55"/>
        <v>11.519320857711136</v>
      </c>
      <c r="E879" s="8">
        <f t="shared" si="52"/>
        <v>124.71428571428571</v>
      </c>
      <c r="F879" s="3"/>
      <c r="G879" s="3"/>
      <c r="H879" s="3"/>
    </row>
    <row r="880" spans="1:8" ht="18.5" x14ac:dyDescent="0.45">
      <c r="A880" s="3">
        <v>874</v>
      </c>
      <c r="B880" s="9">
        <f t="shared" si="53"/>
        <v>0.99924983631522379</v>
      </c>
      <c r="C880" s="3">
        <f t="shared" si="54"/>
        <v>4438268.0729776984</v>
      </c>
      <c r="D880" s="3">
        <f t="shared" si="55"/>
        <v>11.469748598523438</v>
      </c>
      <c r="E880" s="8">
        <f t="shared" si="52"/>
        <v>124.85714285714286</v>
      </c>
      <c r="F880" s="3"/>
      <c r="G880" s="3"/>
      <c r="H880" s="3"/>
    </row>
    <row r="881" spans="1:8" ht="18.5" x14ac:dyDescent="0.45">
      <c r="A881" s="3">
        <v>875</v>
      </c>
      <c r="B881" s="9">
        <f t="shared" si="53"/>
        <v>0.99925240755861966</v>
      </c>
      <c r="C881" s="3">
        <f t="shared" si="54"/>
        <v>4438279.4934123652</v>
      </c>
      <c r="D881" s="3">
        <f t="shared" si="55"/>
        <v>11.420434666797519</v>
      </c>
      <c r="E881" s="8">
        <f t="shared" si="52"/>
        <v>125</v>
      </c>
      <c r="F881" s="3"/>
      <c r="G881" s="3"/>
      <c r="H881" s="3"/>
    </row>
    <row r="882" spans="1:8" ht="18.5" x14ac:dyDescent="0.45">
      <c r="A882" s="3">
        <v>876</v>
      </c>
      <c r="B882" s="9">
        <f t="shared" si="53"/>
        <v>0.99925496775707856</v>
      </c>
      <c r="C882" s="3">
        <f t="shared" si="54"/>
        <v>4438290.8647898398</v>
      </c>
      <c r="D882" s="3">
        <f t="shared" si="55"/>
        <v>11.371377474628389</v>
      </c>
      <c r="E882" s="8">
        <f t="shared" si="52"/>
        <v>125.14285714285714</v>
      </c>
      <c r="F882" s="3"/>
      <c r="G882" s="3"/>
      <c r="H882" s="3"/>
    </row>
    <row r="883" spans="1:8" ht="18.5" x14ac:dyDescent="0.45">
      <c r="A883" s="3">
        <v>877</v>
      </c>
      <c r="B883" s="9">
        <f t="shared" si="53"/>
        <v>0.9992575169680491</v>
      </c>
      <c r="C883" s="3">
        <f t="shared" si="54"/>
        <v>4438302.187365287</v>
      </c>
      <c r="D883" s="3">
        <f t="shared" si="55"/>
        <v>11.322575447149575</v>
      </c>
      <c r="E883" s="8">
        <f t="shared" si="52"/>
        <v>125.28571428571429</v>
      </c>
      <c r="F883" s="3"/>
      <c r="G883" s="3"/>
      <c r="H883" s="3"/>
    </row>
    <row r="884" spans="1:8" ht="18.5" x14ac:dyDescent="0.45">
      <c r="A884" s="3">
        <v>878</v>
      </c>
      <c r="B884" s="9">
        <f t="shared" si="53"/>
        <v>0.99926005524862715</v>
      </c>
      <c r="C884" s="3">
        <f t="shared" si="54"/>
        <v>4438313.4613923021</v>
      </c>
      <c r="D884" s="3">
        <f t="shared" si="55"/>
        <v>11.274027015082538</v>
      </c>
      <c r="E884" s="8">
        <f t="shared" si="52"/>
        <v>125.42857142857143</v>
      </c>
      <c r="F884" s="3"/>
      <c r="G884" s="3"/>
      <c r="H884" s="3"/>
    </row>
    <row r="885" spans="1:8" ht="18.5" x14ac:dyDescent="0.45">
      <c r="A885" s="3">
        <v>879</v>
      </c>
      <c r="B885" s="9">
        <f t="shared" si="53"/>
        <v>0.99926258265555878</v>
      </c>
      <c r="C885" s="3">
        <f t="shared" si="54"/>
        <v>4438324.6871229298</v>
      </c>
      <c r="D885" s="3">
        <f t="shared" si="55"/>
        <v>11.225730627775192</v>
      </c>
      <c r="E885" s="8">
        <f t="shared" si="52"/>
        <v>125.57142857142857</v>
      </c>
      <c r="F885" s="3"/>
      <c r="G885" s="3"/>
      <c r="H885" s="3"/>
    </row>
    <row r="886" spans="1:8" ht="18.5" x14ac:dyDescent="0.45">
      <c r="A886" s="3">
        <v>880</v>
      </c>
      <c r="B886" s="9">
        <f t="shared" si="53"/>
        <v>0.99926509924524265</v>
      </c>
      <c r="C886" s="3">
        <f t="shared" si="54"/>
        <v>4438335.86480767</v>
      </c>
      <c r="D886" s="3">
        <f t="shared" si="55"/>
        <v>11.177684740163386</v>
      </c>
      <c r="E886" s="8">
        <f t="shared" si="52"/>
        <v>125.71428571428571</v>
      </c>
      <c r="F886" s="3"/>
      <c r="G886" s="3"/>
      <c r="H886" s="3"/>
    </row>
    <row r="887" spans="1:8" ht="18.5" x14ac:dyDescent="0.45">
      <c r="A887" s="3">
        <v>881</v>
      </c>
      <c r="B887" s="9">
        <f t="shared" si="53"/>
        <v>0.99926760507373236</v>
      </c>
      <c r="C887" s="3">
        <f t="shared" si="54"/>
        <v>4438346.9946954893</v>
      </c>
      <c r="D887" s="3">
        <f t="shared" si="55"/>
        <v>11.129887819290161</v>
      </c>
      <c r="E887" s="8">
        <f t="shared" si="52"/>
        <v>125.85714285714286</v>
      </c>
      <c r="F887" s="3"/>
      <c r="G887" s="3"/>
      <c r="H887" s="3"/>
    </row>
    <row r="888" spans="1:8" ht="18.5" x14ac:dyDescent="0.45">
      <c r="A888" s="3">
        <v>882</v>
      </c>
      <c r="B888" s="9">
        <f t="shared" si="53"/>
        <v>0.99927010019673868</v>
      </c>
      <c r="C888" s="3">
        <f t="shared" si="54"/>
        <v>4438358.0770338345</v>
      </c>
      <c r="D888" s="3">
        <f t="shared" si="55"/>
        <v>11.082338345237076</v>
      </c>
      <c r="E888" s="8">
        <f t="shared" si="52"/>
        <v>126</v>
      </c>
      <c r="F888" s="3"/>
      <c r="G888" s="3"/>
      <c r="H888" s="3"/>
    </row>
    <row r="889" spans="1:8" ht="18.5" x14ac:dyDescent="0.45">
      <c r="A889" s="3">
        <v>883</v>
      </c>
      <c r="B889" s="9">
        <f t="shared" si="53"/>
        <v>0.99927258466963265</v>
      </c>
      <c r="C889" s="3">
        <f t="shared" si="54"/>
        <v>4438369.1120686401</v>
      </c>
      <c r="D889" s="3">
        <f t="shared" si="55"/>
        <v>11.03503480553627</v>
      </c>
      <c r="E889" s="8">
        <f t="shared" si="52"/>
        <v>126.14285714285714</v>
      </c>
      <c r="F889" s="3"/>
      <c r="G889" s="3"/>
      <c r="H889" s="3"/>
    </row>
    <row r="890" spans="1:8" ht="18.5" x14ac:dyDescent="0.45">
      <c r="A890" s="3">
        <v>884</v>
      </c>
      <c r="B890" s="9">
        <f t="shared" si="53"/>
        <v>0.99927505854744714</v>
      </c>
      <c r="C890" s="3">
        <f t="shared" si="54"/>
        <v>4438380.1000443408</v>
      </c>
      <c r="D890" s="3">
        <f t="shared" si="55"/>
        <v>10.987975700758398</v>
      </c>
      <c r="E890" s="8">
        <f t="shared" si="52"/>
        <v>126.28571428571429</v>
      </c>
      <c r="F890" s="3"/>
      <c r="G890" s="3"/>
      <c r="H890" s="3"/>
    </row>
    <row r="891" spans="1:8" ht="18.5" x14ac:dyDescent="0.45">
      <c r="A891" s="3">
        <v>885</v>
      </c>
      <c r="B891" s="9">
        <f t="shared" si="53"/>
        <v>0.99927752188487984</v>
      </c>
      <c r="C891" s="3">
        <f t="shared" si="54"/>
        <v>4438391.0412038825</v>
      </c>
      <c r="D891" s="3">
        <f t="shared" si="55"/>
        <v>10.941159541718662</v>
      </c>
      <c r="E891" s="8">
        <f t="shared" si="52"/>
        <v>126.42857142857143</v>
      </c>
      <c r="F891" s="3"/>
      <c r="G891" s="3"/>
      <c r="H891" s="3"/>
    </row>
    <row r="892" spans="1:8" ht="18.5" x14ac:dyDescent="0.45">
      <c r="A892" s="3">
        <v>886</v>
      </c>
      <c r="B892" s="9">
        <f t="shared" si="53"/>
        <v>0.99927997473629548</v>
      </c>
      <c r="C892" s="3">
        <f t="shared" si="54"/>
        <v>4438401.9357887302</v>
      </c>
      <c r="D892" s="3">
        <f t="shared" si="55"/>
        <v>10.894584847614169</v>
      </c>
      <c r="E892" s="8">
        <f t="shared" si="52"/>
        <v>126.57142857142857</v>
      </c>
      <c r="F892" s="3"/>
      <c r="G892" s="3"/>
      <c r="H892" s="3"/>
    </row>
    <row r="893" spans="1:8" ht="18.5" x14ac:dyDescent="0.45">
      <c r="A893" s="3">
        <v>887</v>
      </c>
      <c r="B893" s="9">
        <f t="shared" si="53"/>
        <v>0.99928241715572785</v>
      </c>
      <c r="C893" s="3">
        <f t="shared" si="54"/>
        <v>4438412.7840388808</v>
      </c>
      <c r="D893" s="3">
        <f t="shared" si="55"/>
        <v>10.848250150680542</v>
      </c>
      <c r="E893" s="8">
        <f t="shared" si="52"/>
        <v>126.71428571428571</v>
      </c>
      <c r="F893" s="3"/>
      <c r="G893" s="3"/>
      <c r="H893" s="3"/>
    </row>
    <row r="894" spans="1:8" ht="18.5" x14ac:dyDescent="0.45">
      <c r="A894" s="3">
        <v>888</v>
      </c>
      <c r="B894" s="9">
        <f t="shared" si="53"/>
        <v>0.99928484919688287</v>
      </c>
      <c r="C894" s="3">
        <f t="shared" si="54"/>
        <v>4438423.5861928752</v>
      </c>
      <c r="D894" s="3">
        <f t="shared" si="55"/>
        <v>10.802153994329274</v>
      </c>
      <c r="E894" s="8">
        <f t="shared" si="52"/>
        <v>126.85714285714286</v>
      </c>
      <c r="F894" s="3"/>
      <c r="G894" s="3"/>
      <c r="H894" s="3"/>
    </row>
    <row r="895" spans="1:8" ht="18.5" x14ac:dyDescent="0.45">
      <c r="A895" s="3">
        <v>889</v>
      </c>
      <c r="B895" s="9">
        <f t="shared" si="53"/>
        <v>0.99928727091313974</v>
      </c>
      <c r="C895" s="3">
        <f t="shared" si="54"/>
        <v>4438434.3424878018</v>
      </c>
      <c r="D895" s="3">
        <f t="shared" si="55"/>
        <v>10.75629492662847</v>
      </c>
      <c r="E895" s="8">
        <f t="shared" si="52"/>
        <v>127</v>
      </c>
      <c r="F895" s="3"/>
      <c r="G895" s="3"/>
      <c r="H895" s="3"/>
    </row>
    <row r="896" spans="1:8" ht="18.5" x14ac:dyDescent="0.45">
      <c r="A896" s="3">
        <v>890</v>
      </c>
      <c r="B896" s="9">
        <f t="shared" si="53"/>
        <v>0.99928968235755455</v>
      </c>
      <c r="C896" s="3">
        <f t="shared" si="54"/>
        <v>4438445.0531593142</v>
      </c>
      <c r="D896" s="3">
        <f t="shared" si="55"/>
        <v>10.710671512410045</v>
      </c>
      <c r="E896" s="8">
        <f t="shared" si="52"/>
        <v>127.14285714285714</v>
      </c>
      <c r="F896" s="3"/>
      <c r="G896" s="3"/>
      <c r="H896" s="3"/>
    </row>
    <row r="897" spans="1:8" ht="18.5" x14ac:dyDescent="0.45">
      <c r="A897" s="3">
        <v>891</v>
      </c>
      <c r="B897" s="9">
        <f t="shared" si="53"/>
        <v>0.99929208358286148</v>
      </c>
      <c r="C897" s="3">
        <f t="shared" si="54"/>
        <v>4438455.7184416372</v>
      </c>
      <c r="D897" s="3">
        <f t="shared" si="55"/>
        <v>10.665282323025167</v>
      </c>
      <c r="E897" s="8">
        <f t="shared" si="52"/>
        <v>127.28571428571429</v>
      </c>
      <c r="F897" s="3"/>
      <c r="G897" s="3"/>
      <c r="H897" s="3"/>
    </row>
    <row r="898" spans="1:8" ht="18.5" x14ac:dyDescent="0.45">
      <c r="A898" s="3">
        <v>892</v>
      </c>
      <c r="B898" s="9">
        <f t="shared" si="53"/>
        <v>0.99929447464147569</v>
      </c>
      <c r="C898" s="3">
        <f t="shared" si="54"/>
        <v>4438466.3385675782</v>
      </c>
      <c r="D898" s="3">
        <f t="shared" si="55"/>
        <v>10.620125941000879</v>
      </c>
      <c r="E898" s="8">
        <f t="shared" si="52"/>
        <v>127.42857142857143</v>
      </c>
      <c r="F898" s="3"/>
      <c r="G898" s="3"/>
      <c r="H898" s="3"/>
    </row>
    <row r="899" spans="1:8" ht="18.5" x14ac:dyDescent="0.45">
      <c r="A899" s="3">
        <v>893</v>
      </c>
      <c r="B899" s="9">
        <f t="shared" si="53"/>
        <v>0.99929685558549508</v>
      </c>
      <c r="C899" s="3">
        <f t="shared" si="54"/>
        <v>4438476.9137685345</v>
      </c>
      <c r="D899" s="3">
        <f t="shared" si="55"/>
        <v>10.575200956314802</v>
      </c>
      <c r="E899" s="8">
        <f t="shared" si="52"/>
        <v>127.57142857142857</v>
      </c>
      <c r="F899" s="3"/>
      <c r="G899" s="3"/>
      <c r="H899" s="3"/>
    </row>
    <row r="900" spans="1:8" ht="18.5" x14ac:dyDescent="0.45">
      <c r="A900" s="3">
        <v>894</v>
      </c>
      <c r="B900" s="9">
        <f t="shared" si="53"/>
        <v>0.99929922646670311</v>
      </c>
      <c r="C900" s="3">
        <f t="shared" si="54"/>
        <v>4438487.4442745084</v>
      </c>
      <c r="D900" s="3">
        <f t="shared" si="55"/>
        <v>10.53050597384572</v>
      </c>
      <c r="E900" s="8">
        <f t="shared" si="52"/>
        <v>127.71428571428571</v>
      </c>
      <c r="F900" s="3"/>
      <c r="G900" s="3"/>
      <c r="H900" s="3"/>
    </row>
    <row r="901" spans="1:8" ht="18.5" x14ac:dyDescent="0.45">
      <c r="A901" s="3">
        <v>895</v>
      </c>
      <c r="B901" s="9">
        <f t="shared" si="53"/>
        <v>0.99930158733657037</v>
      </c>
      <c r="C901" s="3">
        <f t="shared" si="54"/>
        <v>4438497.9303141106</v>
      </c>
      <c r="D901" s="3">
        <f t="shared" si="55"/>
        <v>10.486039602197707</v>
      </c>
      <c r="E901" s="8">
        <f t="shared" si="52"/>
        <v>127.85714285714286</v>
      </c>
      <c r="F901" s="3"/>
      <c r="G901" s="3"/>
      <c r="H901" s="3"/>
    </row>
    <row r="902" spans="1:8" ht="18.5" x14ac:dyDescent="0.45">
      <c r="A902" s="3">
        <v>896</v>
      </c>
      <c r="B902" s="9">
        <f t="shared" si="53"/>
        <v>0.99930393824625718</v>
      </c>
      <c r="C902" s="3">
        <f t="shared" si="54"/>
        <v>4438508.3721145755</v>
      </c>
      <c r="D902" s="3">
        <f t="shared" si="55"/>
        <v>10.441800464875996</v>
      </c>
      <c r="E902" s="8">
        <f t="shared" si="52"/>
        <v>128</v>
      </c>
      <c r="F902" s="3"/>
      <c r="G902" s="3"/>
      <c r="H902" s="3"/>
    </row>
    <row r="903" spans="1:8" ht="18.5" x14ac:dyDescent="0.45">
      <c r="A903" s="3">
        <v>897</v>
      </c>
      <c r="B903" s="9">
        <f t="shared" si="53"/>
        <v>0.99930627924661553</v>
      </c>
      <c r="C903" s="3">
        <f t="shared" si="54"/>
        <v>4438518.7699017674</v>
      </c>
      <c r="D903" s="3">
        <f t="shared" si="55"/>
        <v>10.397787191905081</v>
      </c>
      <c r="E903" s="8">
        <f t="shared" ref="E903:E966" si="56">A903/7</f>
        <v>128.14285714285714</v>
      </c>
      <c r="F903" s="3"/>
      <c r="G903" s="3"/>
      <c r="H903" s="3"/>
    </row>
    <row r="904" spans="1:8" ht="18.5" x14ac:dyDescent="0.45">
      <c r="A904" s="3">
        <v>898</v>
      </c>
      <c r="B904" s="9">
        <f t="shared" ref="B904:B967" si="57">LOGNORMDIST(A904,$A$3,$B$3)</f>
        <v>0.9993086103881913</v>
      </c>
      <c r="C904" s="3">
        <f t="shared" ref="C904:C967" si="58">$E$3*B904</f>
        <v>4438529.1239001909</v>
      </c>
      <c r="D904" s="3">
        <f t="shared" ref="D904:D967" si="59">C904-C903</f>
        <v>10.353998423554003</v>
      </c>
      <c r="E904" s="8">
        <f t="shared" si="56"/>
        <v>128.28571428571428</v>
      </c>
      <c r="F904" s="3"/>
      <c r="G904" s="3"/>
      <c r="H904" s="3"/>
    </row>
    <row r="905" spans="1:8" ht="18.5" x14ac:dyDescent="0.45">
      <c r="A905" s="3">
        <v>899</v>
      </c>
      <c r="B905" s="9">
        <f t="shared" si="57"/>
        <v>0.99931093172122643</v>
      </c>
      <c r="C905" s="3">
        <f t="shared" si="58"/>
        <v>4438539.4343329994</v>
      </c>
      <c r="D905" s="3">
        <f t="shared" si="59"/>
        <v>10.310432808473706</v>
      </c>
      <c r="E905" s="8">
        <f t="shared" si="56"/>
        <v>128.42857142857142</v>
      </c>
      <c r="F905" s="3"/>
      <c r="G905" s="3"/>
      <c r="H905" s="3"/>
    </row>
    <row r="906" spans="1:8" ht="18.5" x14ac:dyDescent="0.45">
      <c r="A906" s="3">
        <v>900</v>
      </c>
      <c r="B906" s="9">
        <f t="shared" si="57"/>
        <v>0.99931324329566107</v>
      </c>
      <c r="C906" s="3">
        <f t="shared" si="58"/>
        <v>4438549.7014220078</v>
      </c>
      <c r="D906" s="3">
        <f t="shared" si="59"/>
        <v>10.267089008353651</v>
      </c>
      <c r="E906" s="8">
        <f t="shared" si="56"/>
        <v>128.57142857142858</v>
      </c>
      <c r="F906" s="3"/>
      <c r="G906" s="3"/>
      <c r="H906" s="3"/>
    </row>
    <row r="907" spans="1:8" ht="18.5" x14ac:dyDescent="0.45">
      <c r="A907" s="3">
        <v>901</v>
      </c>
      <c r="B907" s="9">
        <f t="shared" si="57"/>
        <v>0.99931554516113541</v>
      </c>
      <c r="C907" s="3">
        <f t="shared" si="58"/>
        <v>4438559.9253876992</v>
      </c>
      <c r="D907" s="3">
        <f t="shared" si="59"/>
        <v>10.223965691402555</v>
      </c>
      <c r="E907" s="8">
        <f t="shared" si="56"/>
        <v>128.71428571428572</v>
      </c>
      <c r="F907" s="3"/>
      <c r="G907" s="3"/>
      <c r="H907" s="3"/>
    </row>
    <row r="908" spans="1:8" ht="18.5" x14ac:dyDescent="0.45">
      <c r="A908" s="3">
        <v>902</v>
      </c>
      <c r="B908" s="9">
        <f t="shared" si="57"/>
        <v>0.99931783736699198</v>
      </c>
      <c r="C908" s="3">
        <f t="shared" si="58"/>
        <v>4438570.1064492315</v>
      </c>
      <c r="D908" s="3">
        <f t="shared" si="59"/>
        <v>10.181061532348394</v>
      </c>
      <c r="E908" s="8">
        <f t="shared" si="56"/>
        <v>128.85714285714286</v>
      </c>
      <c r="F908" s="3"/>
      <c r="G908" s="3"/>
      <c r="H908" s="3"/>
    </row>
    <row r="909" spans="1:8" ht="18.5" x14ac:dyDescent="0.45">
      <c r="A909" s="3">
        <v>903</v>
      </c>
      <c r="B909" s="9">
        <f t="shared" si="57"/>
        <v>0.99932011996227799</v>
      </c>
      <c r="C909" s="3">
        <f t="shared" si="58"/>
        <v>4438580.2448244542</v>
      </c>
      <c r="D909" s="3">
        <f t="shared" si="59"/>
        <v>10.138375222682953</v>
      </c>
      <c r="E909" s="8">
        <f t="shared" si="56"/>
        <v>129</v>
      </c>
      <c r="F909" s="3"/>
      <c r="G909" s="3"/>
      <c r="H909" s="3"/>
    </row>
    <row r="910" spans="1:8" ht="18.5" x14ac:dyDescent="0.45">
      <c r="A910" s="3">
        <v>904</v>
      </c>
      <c r="B910" s="9">
        <f t="shared" si="57"/>
        <v>0.99932239299574666</v>
      </c>
      <c r="C910" s="3">
        <f t="shared" si="58"/>
        <v>4438590.3407299081</v>
      </c>
      <c r="D910" s="3">
        <f t="shared" si="59"/>
        <v>10.095905453898013</v>
      </c>
      <c r="E910" s="8">
        <f t="shared" si="56"/>
        <v>129.14285714285714</v>
      </c>
      <c r="F910" s="3"/>
      <c r="G910" s="3"/>
      <c r="H910" s="3"/>
    </row>
    <row r="911" spans="1:8" ht="18.5" x14ac:dyDescent="0.45">
      <c r="A911" s="3">
        <v>905</v>
      </c>
      <c r="B911" s="9">
        <f t="shared" si="57"/>
        <v>0.99932465651585989</v>
      </c>
      <c r="C911" s="3">
        <f t="shared" si="58"/>
        <v>4438600.3943808433</v>
      </c>
      <c r="D911" s="3">
        <f t="shared" si="59"/>
        <v>10.053650935180485</v>
      </c>
      <c r="E911" s="8">
        <f t="shared" si="56"/>
        <v>129.28571428571428</v>
      </c>
      <c r="F911" s="3"/>
      <c r="G911" s="3"/>
      <c r="H911" s="3"/>
    </row>
    <row r="912" spans="1:8" ht="18.5" x14ac:dyDescent="0.45">
      <c r="A912" s="3">
        <v>906</v>
      </c>
      <c r="B912" s="9">
        <f t="shared" si="57"/>
        <v>0.99932691057079004</v>
      </c>
      <c r="C912" s="3">
        <f t="shared" si="58"/>
        <v>4438610.4059912208</v>
      </c>
      <c r="D912" s="3">
        <f t="shared" si="59"/>
        <v>10.011610377579927</v>
      </c>
      <c r="E912" s="8">
        <f t="shared" si="56"/>
        <v>129.42857142857142</v>
      </c>
      <c r="F912" s="3"/>
      <c r="G912" s="3"/>
      <c r="H912" s="3"/>
    </row>
    <row r="913" spans="1:8" ht="18.5" x14ac:dyDescent="0.45">
      <c r="A913" s="3">
        <v>907</v>
      </c>
      <c r="B913" s="9">
        <f t="shared" si="57"/>
        <v>0.99932915520842169</v>
      </c>
      <c r="C913" s="3">
        <f t="shared" si="58"/>
        <v>4438620.375773726</v>
      </c>
      <c r="D913" s="3">
        <f t="shared" si="59"/>
        <v>9.969782505184412</v>
      </c>
      <c r="E913" s="8">
        <f t="shared" si="56"/>
        <v>129.57142857142858</v>
      </c>
      <c r="F913" s="3"/>
      <c r="G913" s="3"/>
      <c r="H913" s="3"/>
    </row>
    <row r="914" spans="1:8" ht="18.5" x14ac:dyDescent="0.45">
      <c r="A914" s="3">
        <v>908</v>
      </c>
      <c r="B914" s="9">
        <f t="shared" si="57"/>
        <v>0.99933139047635422</v>
      </c>
      <c r="C914" s="3">
        <f t="shared" si="58"/>
        <v>4438630.3039397746</v>
      </c>
      <c r="D914" s="3">
        <f t="shared" si="59"/>
        <v>9.9281660486012697</v>
      </c>
      <c r="E914" s="8">
        <f t="shared" si="56"/>
        <v>129.71428571428572</v>
      </c>
      <c r="F914" s="3"/>
      <c r="G914" s="3"/>
      <c r="H914" s="3"/>
    </row>
    <row r="915" spans="1:8" ht="18.5" x14ac:dyDescent="0.45">
      <c r="A915" s="3">
        <v>909</v>
      </c>
      <c r="B915" s="9">
        <f t="shared" si="57"/>
        <v>0.99933361642190321</v>
      </c>
      <c r="C915" s="3">
        <f t="shared" si="58"/>
        <v>4438640.1906995252</v>
      </c>
      <c r="D915" s="3">
        <f t="shared" si="59"/>
        <v>9.8867597505450249</v>
      </c>
      <c r="E915" s="8">
        <f t="shared" si="56"/>
        <v>129.85714285714286</v>
      </c>
      <c r="F915" s="3"/>
      <c r="G915" s="3"/>
      <c r="H915" s="3"/>
    </row>
    <row r="916" spans="1:8" ht="18.5" x14ac:dyDescent="0.45">
      <c r="A916" s="3">
        <v>910</v>
      </c>
      <c r="B916" s="9">
        <f t="shared" si="57"/>
        <v>0.9993358330921025</v>
      </c>
      <c r="C916" s="3">
        <f t="shared" si="58"/>
        <v>4438650.0362618826</v>
      </c>
      <c r="D916" s="3">
        <f t="shared" si="59"/>
        <v>9.845562357455492</v>
      </c>
      <c r="E916" s="8">
        <f t="shared" si="56"/>
        <v>130</v>
      </c>
      <c r="F916" s="3"/>
      <c r="G916" s="3"/>
      <c r="H916" s="3"/>
    </row>
    <row r="917" spans="1:8" ht="18.5" x14ac:dyDescent="0.45">
      <c r="A917" s="3">
        <v>911</v>
      </c>
      <c r="B917" s="9">
        <f t="shared" si="57"/>
        <v>0.99933804053370656</v>
      </c>
      <c r="C917" s="3">
        <f t="shared" si="58"/>
        <v>4438659.8408345114</v>
      </c>
      <c r="D917" s="3">
        <f t="shared" si="59"/>
        <v>9.8045726288110018</v>
      </c>
      <c r="E917" s="8">
        <f t="shared" si="56"/>
        <v>130.14285714285714</v>
      </c>
      <c r="F917" s="3"/>
      <c r="G917" s="3"/>
      <c r="H917" s="3"/>
    </row>
    <row r="918" spans="1:8" ht="18.5" x14ac:dyDescent="0.45">
      <c r="A918" s="3">
        <v>912</v>
      </c>
      <c r="B918" s="9">
        <f t="shared" si="57"/>
        <v>0.99934023879319167</v>
      </c>
      <c r="C918" s="3">
        <f t="shared" si="58"/>
        <v>4438669.6046238402</v>
      </c>
      <c r="D918" s="3">
        <f t="shared" si="59"/>
        <v>9.7637893287464976</v>
      </c>
      <c r="E918" s="8">
        <f t="shared" si="56"/>
        <v>130.28571428571428</v>
      </c>
      <c r="F918" s="3"/>
      <c r="G918" s="3"/>
      <c r="H918" s="3"/>
    </row>
    <row r="919" spans="1:8" ht="18.5" x14ac:dyDescent="0.45">
      <c r="A919" s="3">
        <v>913</v>
      </c>
      <c r="B919" s="9">
        <f t="shared" si="57"/>
        <v>0.99934242791675865</v>
      </c>
      <c r="C919" s="3">
        <f t="shared" si="58"/>
        <v>4438679.3278350756</v>
      </c>
      <c r="D919" s="3">
        <f t="shared" si="59"/>
        <v>9.7232112353667617</v>
      </c>
      <c r="E919" s="8">
        <f t="shared" si="56"/>
        <v>130.42857142857142</v>
      </c>
      <c r="F919" s="3"/>
      <c r="G919" s="3"/>
      <c r="H919" s="3"/>
    </row>
    <row r="920" spans="1:8" ht="18.5" x14ac:dyDescent="0.45">
      <c r="A920" s="3">
        <v>914</v>
      </c>
      <c r="B920" s="9">
        <f t="shared" si="57"/>
        <v>0.99934460795033397</v>
      </c>
      <c r="C920" s="3">
        <f t="shared" si="58"/>
        <v>4438689.0106722033</v>
      </c>
      <c r="D920" s="3">
        <f t="shared" si="59"/>
        <v>9.6828371277078986</v>
      </c>
      <c r="E920" s="8">
        <f t="shared" si="56"/>
        <v>130.57142857142858</v>
      </c>
      <c r="F920" s="3"/>
      <c r="G920" s="3"/>
      <c r="H920" s="3"/>
    </row>
    <row r="921" spans="1:8" ht="18.5" x14ac:dyDescent="0.45">
      <c r="A921" s="3">
        <v>915</v>
      </c>
      <c r="B921" s="9">
        <f t="shared" si="57"/>
        <v>0.99934677893957224</v>
      </c>
      <c r="C921" s="3">
        <f t="shared" si="58"/>
        <v>4438698.6533380039</v>
      </c>
      <c r="D921" s="3">
        <f t="shared" si="59"/>
        <v>9.6426658006384969</v>
      </c>
      <c r="E921" s="8">
        <f t="shared" si="56"/>
        <v>130.71428571428572</v>
      </c>
      <c r="F921" s="3"/>
      <c r="G921" s="3"/>
      <c r="H921" s="3"/>
    </row>
    <row r="922" spans="1:8" ht="18.5" x14ac:dyDescent="0.45">
      <c r="A922" s="3">
        <v>916</v>
      </c>
      <c r="B922" s="9">
        <f t="shared" si="57"/>
        <v>0.99934894092985771</v>
      </c>
      <c r="C922" s="3">
        <f t="shared" si="58"/>
        <v>4438708.2560340557</v>
      </c>
      <c r="D922" s="3">
        <f t="shared" si="59"/>
        <v>9.6026960518211126</v>
      </c>
      <c r="E922" s="8">
        <f t="shared" si="56"/>
        <v>130.85714285714286</v>
      </c>
      <c r="F922" s="3"/>
      <c r="G922" s="3"/>
      <c r="H922" s="3"/>
    </row>
    <row r="923" spans="1:8" ht="18.5" x14ac:dyDescent="0.45">
      <c r="A923" s="3">
        <v>917</v>
      </c>
      <c r="B923" s="9">
        <f t="shared" si="57"/>
        <v>0.99935109396630617</v>
      </c>
      <c r="C923" s="3">
        <f t="shared" si="58"/>
        <v>4438717.8189607458</v>
      </c>
      <c r="D923" s="3">
        <f t="shared" si="59"/>
        <v>9.562926690094173</v>
      </c>
      <c r="E923" s="8">
        <f t="shared" si="56"/>
        <v>131</v>
      </c>
      <c r="F923" s="3"/>
      <c r="G923" s="3"/>
      <c r="H923" s="3"/>
    </row>
    <row r="924" spans="1:8" ht="18.5" x14ac:dyDescent="0.45">
      <c r="A924" s="3">
        <v>918</v>
      </c>
      <c r="B924" s="9">
        <f t="shared" si="57"/>
        <v>0.99935323809376708</v>
      </c>
      <c r="C924" s="3">
        <f t="shared" si="58"/>
        <v>4438727.3423172757</v>
      </c>
      <c r="D924" s="3">
        <f t="shared" si="59"/>
        <v>9.5233565298840404</v>
      </c>
      <c r="E924" s="8">
        <f t="shared" si="56"/>
        <v>131.14285714285714</v>
      </c>
      <c r="F924" s="3"/>
      <c r="G924" s="3"/>
      <c r="H924" s="3"/>
    </row>
    <row r="925" spans="1:8" ht="18.5" x14ac:dyDescent="0.45">
      <c r="A925" s="3">
        <v>919</v>
      </c>
      <c r="B925" s="9">
        <f t="shared" si="57"/>
        <v>0.99935537335682489</v>
      </c>
      <c r="C925" s="3">
        <f t="shared" si="58"/>
        <v>4438736.8263016734</v>
      </c>
      <c r="D925" s="3">
        <f t="shared" si="59"/>
        <v>9.4839843977242708</v>
      </c>
      <c r="E925" s="8">
        <f t="shared" si="56"/>
        <v>131.28571428571428</v>
      </c>
      <c r="F925" s="3"/>
      <c r="G925" s="3"/>
      <c r="H925" s="3"/>
    </row>
    <row r="926" spans="1:8" ht="18.5" x14ac:dyDescent="0.45">
      <c r="A926" s="3">
        <v>920</v>
      </c>
      <c r="B926" s="9">
        <f t="shared" si="57"/>
        <v>0.99935749979980126</v>
      </c>
      <c r="C926" s="3">
        <f t="shared" si="58"/>
        <v>4438746.2711107973</v>
      </c>
      <c r="D926" s="3">
        <f t="shared" si="59"/>
        <v>9.4448091238737106</v>
      </c>
      <c r="E926" s="8">
        <f t="shared" si="56"/>
        <v>131.42857142857142</v>
      </c>
      <c r="F926" s="3"/>
      <c r="G926" s="3"/>
      <c r="H926" s="3"/>
    </row>
    <row r="927" spans="1:8" ht="18.5" x14ac:dyDescent="0.45">
      <c r="A927" s="3">
        <v>921</v>
      </c>
      <c r="B927" s="9">
        <f t="shared" si="57"/>
        <v>0.99935961746675661</v>
      </c>
      <c r="C927" s="3">
        <f t="shared" si="58"/>
        <v>4438755.6769403461</v>
      </c>
      <c r="D927" s="3">
        <f t="shared" si="59"/>
        <v>9.4058295488357544</v>
      </c>
      <c r="E927" s="8">
        <f t="shared" si="56"/>
        <v>131.57142857142858</v>
      </c>
      <c r="F927" s="3"/>
      <c r="G927" s="3"/>
      <c r="H927" s="3"/>
    </row>
    <row r="928" spans="1:8" ht="18.5" x14ac:dyDescent="0.45">
      <c r="A928" s="3">
        <v>922</v>
      </c>
      <c r="B928" s="9">
        <f t="shared" si="57"/>
        <v>0.99936172640149212</v>
      </c>
      <c r="C928" s="3">
        <f t="shared" si="58"/>
        <v>4438765.0439848676</v>
      </c>
      <c r="D928" s="3">
        <f t="shared" si="59"/>
        <v>9.3670445214956999</v>
      </c>
      <c r="E928" s="8">
        <f t="shared" si="56"/>
        <v>131.71428571428572</v>
      </c>
      <c r="F928" s="3"/>
      <c r="G928" s="3"/>
      <c r="H928" s="3"/>
    </row>
    <row r="929" spans="1:8" ht="18.5" x14ac:dyDescent="0.45">
      <c r="A929" s="3">
        <v>923</v>
      </c>
      <c r="B929" s="9">
        <f t="shared" si="57"/>
        <v>0.9993638266475513</v>
      </c>
      <c r="C929" s="3">
        <f t="shared" si="58"/>
        <v>4438774.372437764</v>
      </c>
      <c r="D929" s="3">
        <f t="shared" si="59"/>
        <v>9.3284528963267803</v>
      </c>
      <c r="E929" s="8">
        <f t="shared" si="56"/>
        <v>131.85714285714286</v>
      </c>
      <c r="F929" s="3"/>
      <c r="G929" s="3"/>
      <c r="H929" s="3"/>
    </row>
    <row r="930" spans="1:8" ht="18.5" x14ac:dyDescent="0.45">
      <c r="A930" s="3">
        <v>924</v>
      </c>
      <c r="B930" s="9">
        <f t="shared" si="57"/>
        <v>0.99936591824822174</v>
      </c>
      <c r="C930" s="3">
        <f t="shared" si="58"/>
        <v>4438783.662491302</v>
      </c>
      <c r="D930" s="3">
        <f t="shared" si="59"/>
        <v>9.2900535380467772</v>
      </c>
      <c r="E930" s="8">
        <f t="shared" si="56"/>
        <v>132</v>
      </c>
      <c r="F930" s="3"/>
      <c r="G930" s="3"/>
      <c r="H930" s="3"/>
    </row>
    <row r="931" spans="1:8" ht="18.5" x14ac:dyDescent="0.45">
      <c r="A931" s="3">
        <v>925</v>
      </c>
      <c r="B931" s="9">
        <f t="shared" si="57"/>
        <v>0.9993680012465368</v>
      </c>
      <c r="C931" s="3">
        <f t="shared" si="58"/>
        <v>4438792.914336618</v>
      </c>
      <c r="D931" s="3">
        <f t="shared" si="59"/>
        <v>9.2518453160300851</v>
      </c>
      <c r="E931" s="8">
        <f t="shared" si="56"/>
        <v>132.14285714285714</v>
      </c>
      <c r="F931" s="3"/>
      <c r="G931" s="3"/>
      <c r="H931" s="3"/>
    </row>
    <row r="932" spans="1:8" ht="18.5" x14ac:dyDescent="0.45">
      <c r="A932" s="3">
        <v>926</v>
      </c>
      <c r="B932" s="9">
        <f t="shared" si="57"/>
        <v>0.9993700756852778</v>
      </c>
      <c r="C932" s="3">
        <f t="shared" si="58"/>
        <v>4438802.1281637298</v>
      </c>
      <c r="D932" s="3">
        <f t="shared" si="59"/>
        <v>9.2138271117582917</v>
      </c>
      <c r="E932" s="8">
        <f t="shared" si="56"/>
        <v>132.28571428571428</v>
      </c>
      <c r="F932" s="3"/>
      <c r="G932" s="3"/>
      <c r="H932" s="3"/>
    </row>
    <row r="933" spans="1:8" ht="18.5" x14ac:dyDescent="0.45">
      <c r="A933" s="3">
        <v>927</v>
      </c>
      <c r="B933" s="9">
        <f t="shared" si="57"/>
        <v>0.99937214160697518</v>
      </c>
      <c r="C933" s="3">
        <f t="shared" si="58"/>
        <v>4438811.3041615412</v>
      </c>
      <c r="D933" s="3">
        <f t="shared" si="59"/>
        <v>9.1759978113695979</v>
      </c>
      <c r="E933" s="8">
        <f t="shared" si="56"/>
        <v>132.42857142857142</v>
      </c>
      <c r="F933" s="3"/>
      <c r="G933" s="3"/>
      <c r="H933" s="3"/>
    </row>
    <row r="934" spans="1:8" ht="18.5" x14ac:dyDescent="0.45">
      <c r="A934" s="3">
        <v>928</v>
      </c>
      <c r="B934" s="9">
        <f t="shared" si="57"/>
        <v>0.99937419905391012</v>
      </c>
      <c r="C934" s="3">
        <f t="shared" si="58"/>
        <v>4438820.4425178468</v>
      </c>
      <c r="D934" s="3">
        <f t="shared" si="59"/>
        <v>9.1383563056588173</v>
      </c>
      <c r="E934" s="8">
        <f t="shared" si="56"/>
        <v>132.57142857142858</v>
      </c>
      <c r="F934" s="3"/>
      <c r="G934" s="3"/>
      <c r="H934" s="3"/>
    </row>
    <row r="935" spans="1:8" ht="18.5" x14ac:dyDescent="0.45">
      <c r="A935" s="3">
        <v>929</v>
      </c>
      <c r="B935" s="9">
        <f t="shared" si="57"/>
        <v>0.99937624806811687</v>
      </c>
      <c r="C935" s="3">
        <f t="shared" si="58"/>
        <v>4438829.5434193481</v>
      </c>
      <c r="D935" s="3">
        <f t="shared" si="59"/>
        <v>9.1009015012532473</v>
      </c>
      <c r="E935" s="8">
        <f t="shared" si="56"/>
        <v>132.71428571428572</v>
      </c>
      <c r="F935" s="3"/>
      <c r="G935" s="3"/>
      <c r="H935" s="3"/>
    </row>
    <row r="936" spans="1:8" ht="18.5" x14ac:dyDescent="0.45">
      <c r="A936" s="3">
        <v>930</v>
      </c>
      <c r="B936" s="9">
        <f t="shared" si="57"/>
        <v>0.99937828869138379</v>
      </c>
      <c r="C936" s="3">
        <f t="shared" si="58"/>
        <v>4438838.6070516501</v>
      </c>
      <c r="D936" s="3">
        <f t="shared" si="59"/>
        <v>9.0636323019862175</v>
      </c>
      <c r="E936" s="8">
        <f t="shared" si="56"/>
        <v>132.85714285714286</v>
      </c>
      <c r="F936" s="3"/>
      <c r="G936" s="3"/>
      <c r="H936" s="3"/>
    </row>
    <row r="937" spans="1:8" ht="18.5" x14ac:dyDescent="0.45">
      <c r="A937" s="3">
        <v>931</v>
      </c>
      <c r="B937" s="9">
        <f t="shared" si="57"/>
        <v>0.99938032096525553</v>
      </c>
      <c r="C937" s="3">
        <f t="shared" si="58"/>
        <v>4438847.6335992785</v>
      </c>
      <c r="D937" s="3">
        <f t="shared" si="59"/>
        <v>9.026547628454864</v>
      </c>
      <c r="E937" s="8">
        <f t="shared" si="56"/>
        <v>133</v>
      </c>
      <c r="F937" s="3"/>
      <c r="G937" s="3"/>
      <c r="H937" s="3"/>
    </row>
    <row r="938" spans="1:8" ht="18.5" x14ac:dyDescent="0.45">
      <c r="A938" s="3">
        <v>932</v>
      </c>
      <c r="B938" s="9">
        <f t="shared" si="57"/>
        <v>0.99938234493103406</v>
      </c>
      <c r="C938" s="3">
        <f t="shared" si="58"/>
        <v>4438856.6232456807</v>
      </c>
      <c r="D938" s="3">
        <f t="shared" si="59"/>
        <v>8.9896464021876454</v>
      </c>
      <c r="E938" s="8">
        <f t="shared" si="56"/>
        <v>133.14285714285714</v>
      </c>
      <c r="F938" s="3"/>
      <c r="G938" s="3"/>
      <c r="H938" s="3"/>
    </row>
    <row r="939" spans="1:8" ht="18.5" x14ac:dyDescent="0.45">
      <c r="A939" s="3">
        <v>933</v>
      </c>
      <c r="B939" s="9">
        <f t="shared" si="57"/>
        <v>0.99938436062978087</v>
      </c>
      <c r="C939" s="3">
        <f t="shared" si="58"/>
        <v>4438865.5761732347</v>
      </c>
      <c r="D939" s="3">
        <f t="shared" si="59"/>
        <v>8.9529275540262461</v>
      </c>
      <c r="E939" s="8">
        <f t="shared" si="56"/>
        <v>133.28571428571428</v>
      </c>
      <c r="F939" s="3"/>
      <c r="G939" s="3"/>
      <c r="H939" s="3"/>
    </row>
    <row r="940" spans="1:8" ht="18.5" x14ac:dyDescent="0.45">
      <c r="A940" s="3">
        <v>934</v>
      </c>
      <c r="B940" s="9">
        <f t="shared" si="57"/>
        <v>0.99938636810231829</v>
      </c>
      <c r="C940" s="3">
        <f t="shared" si="58"/>
        <v>4438874.492563257</v>
      </c>
      <c r="D940" s="3">
        <f t="shared" si="59"/>
        <v>8.9163900222629309</v>
      </c>
      <c r="E940" s="8">
        <f t="shared" si="56"/>
        <v>133.42857142857142</v>
      </c>
      <c r="F940" s="3"/>
      <c r="G940" s="3"/>
      <c r="H940" s="3"/>
    </row>
    <row r="941" spans="1:8" ht="18.5" x14ac:dyDescent="0.45">
      <c r="A941" s="3">
        <v>935</v>
      </c>
      <c r="B941" s="9">
        <f t="shared" si="57"/>
        <v>0.9993883673892312</v>
      </c>
      <c r="C941" s="3">
        <f t="shared" si="58"/>
        <v>4438883.3725960096</v>
      </c>
      <c r="D941" s="3">
        <f t="shared" si="59"/>
        <v>8.8800327526405454</v>
      </c>
      <c r="E941" s="8">
        <f t="shared" si="56"/>
        <v>133.57142857142858</v>
      </c>
      <c r="F941" s="3"/>
      <c r="G941" s="3"/>
      <c r="H941" s="3"/>
    </row>
    <row r="942" spans="1:8" ht="18.5" x14ac:dyDescent="0.45">
      <c r="A942" s="3">
        <v>936</v>
      </c>
      <c r="B942" s="9">
        <f t="shared" si="57"/>
        <v>0.99939035853086855</v>
      </c>
      <c r="C942" s="3">
        <f t="shared" si="58"/>
        <v>4438892.2164507061</v>
      </c>
      <c r="D942" s="3">
        <f t="shared" si="59"/>
        <v>8.8438546964898705</v>
      </c>
      <c r="E942" s="8">
        <f t="shared" si="56"/>
        <v>133.71428571428572</v>
      </c>
      <c r="F942" s="3"/>
      <c r="G942" s="3"/>
      <c r="H942" s="3"/>
    </row>
    <row r="943" spans="1:8" ht="18.5" x14ac:dyDescent="0.45">
      <c r="A943" s="3">
        <v>937</v>
      </c>
      <c r="B943" s="9">
        <f t="shared" si="57"/>
        <v>0.99939234156734502</v>
      </c>
      <c r="C943" s="3">
        <f t="shared" si="58"/>
        <v>4438901.0243055196</v>
      </c>
      <c r="D943" s="3">
        <f t="shared" si="59"/>
        <v>8.8078548135235906</v>
      </c>
      <c r="E943" s="8">
        <f t="shared" si="56"/>
        <v>133.85714285714286</v>
      </c>
      <c r="F943" s="3"/>
      <c r="G943" s="3"/>
      <c r="H943" s="3"/>
    </row>
    <row r="944" spans="1:8" ht="18.5" x14ac:dyDescent="0.45">
      <c r="A944" s="3">
        <v>938</v>
      </c>
      <c r="B944" s="9">
        <f t="shared" si="57"/>
        <v>0.9993943165385426</v>
      </c>
      <c r="C944" s="3">
        <f t="shared" si="58"/>
        <v>4438909.7963375906</v>
      </c>
      <c r="D944" s="3">
        <f t="shared" si="59"/>
        <v>8.7720320709049702</v>
      </c>
      <c r="E944" s="8">
        <f t="shared" si="56"/>
        <v>134</v>
      </c>
      <c r="F944" s="3"/>
      <c r="G944" s="3"/>
      <c r="H944" s="3"/>
    </row>
    <row r="945" spans="1:8" ht="18.5" x14ac:dyDescent="0.45">
      <c r="A945" s="3">
        <v>939</v>
      </c>
      <c r="B945" s="9">
        <f t="shared" si="57"/>
        <v>0.99939628348411202</v>
      </c>
      <c r="C945" s="3">
        <f t="shared" si="58"/>
        <v>4438918.5327230319</v>
      </c>
      <c r="D945" s="3">
        <f t="shared" si="59"/>
        <v>8.7363854413852096</v>
      </c>
      <c r="E945" s="8">
        <f t="shared" si="56"/>
        <v>134.14285714285714</v>
      </c>
      <c r="F945" s="3"/>
      <c r="G945" s="3"/>
      <c r="H945" s="3"/>
    </row>
    <row r="946" spans="1:8" ht="18.5" x14ac:dyDescent="0.45">
      <c r="A946" s="3">
        <v>940</v>
      </c>
      <c r="B946" s="9">
        <f t="shared" si="57"/>
        <v>0.99939824244347431</v>
      </c>
      <c r="C946" s="3">
        <f t="shared" si="58"/>
        <v>4438927.2336369352</v>
      </c>
      <c r="D946" s="3">
        <f t="shared" si="59"/>
        <v>8.7009139033034444</v>
      </c>
      <c r="E946" s="8">
        <f t="shared" si="56"/>
        <v>134.28571428571428</v>
      </c>
      <c r="F946" s="3"/>
      <c r="G946" s="3"/>
      <c r="H946" s="3"/>
    </row>
    <row r="947" spans="1:8" ht="18.5" x14ac:dyDescent="0.45">
      <c r="A947" s="3">
        <v>941</v>
      </c>
      <c r="B947" s="9">
        <f t="shared" si="57"/>
        <v>0.99940019345582265</v>
      </c>
      <c r="C947" s="3">
        <f t="shared" si="58"/>
        <v>4438935.8992533814</v>
      </c>
      <c r="D947" s="3">
        <f t="shared" si="59"/>
        <v>8.6656164461746812</v>
      </c>
      <c r="E947" s="8">
        <f t="shared" si="56"/>
        <v>134.42857142857142</v>
      </c>
      <c r="F947" s="3"/>
      <c r="G947" s="3"/>
      <c r="H947" s="3"/>
    </row>
    <row r="948" spans="1:8" ht="18.5" x14ac:dyDescent="0.45">
      <c r="A948" s="3">
        <v>942</v>
      </c>
      <c r="B948" s="9">
        <f t="shared" si="57"/>
        <v>0.99940213656012356</v>
      </c>
      <c r="C948" s="3">
        <f t="shared" si="58"/>
        <v>4438944.5297454447</v>
      </c>
      <c r="D948" s="3">
        <f t="shared" si="59"/>
        <v>8.6304920632392168</v>
      </c>
      <c r="E948" s="8">
        <f t="shared" si="56"/>
        <v>134.57142857142858</v>
      </c>
      <c r="F948" s="3"/>
      <c r="G948" s="3"/>
      <c r="H948" s="3"/>
    </row>
    <row r="949" spans="1:8" ht="18.5" x14ac:dyDescent="0.45">
      <c r="A949" s="3">
        <v>943</v>
      </c>
      <c r="B949" s="9">
        <f t="shared" si="57"/>
        <v>0.99940407179511836</v>
      </c>
      <c r="C949" s="3">
        <f t="shared" si="58"/>
        <v>4438953.125285198</v>
      </c>
      <c r="D949" s="3">
        <f t="shared" si="59"/>
        <v>8.5955397533252835</v>
      </c>
      <c r="E949" s="8">
        <f t="shared" si="56"/>
        <v>134.71428571428572</v>
      </c>
      <c r="F949" s="3"/>
      <c r="G949" s="3"/>
      <c r="H949" s="3"/>
    </row>
    <row r="950" spans="1:8" ht="18.5" x14ac:dyDescent="0.45">
      <c r="A950" s="3">
        <v>944</v>
      </c>
      <c r="B950" s="9">
        <f t="shared" si="57"/>
        <v>0.99940599919932493</v>
      </c>
      <c r="C950" s="3">
        <f t="shared" si="58"/>
        <v>4438961.6860437216</v>
      </c>
      <c r="D950" s="3">
        <f t="shared" si="59"/>
        <v>8.5607585236430168</v>
      </c>
      <c r="E950" s="8">
        <f t="shared" si="56"/>
        <v>134.85714285714286</v>
      </c>
      <c r="F950" s="3"/>
      <c r="G950" s="3"/>
      <c r="H950" s="3"/>
    </row>
    <row r="951" spans="1:8" ht="18.5" x14ac:dyDescent="0.45">
      <c r="A951" s="3">
        <v>945</v>
      </c>
      <c r="B951" s="9">
        <f t="shared" si="57"/>
        <v>0.99940791881103908</v>
      </c>
      <c r="C951" s="3">
        <f t="shared" si="58"/>
        <v>4438970.2121911114</v>
      </c>
      <c r="D951" s="3">
        <f t="shared" si="59"/>
        <v>8.5261473897844553</v>
      </c>
      <c r="E951" s="8">
        <f t="shared" si="56"/>
        <v>135</v>
      </c>
      <c r="F951" s="3"/>
      <c r="G951" s="3"/>
      <c r="H951" s="3"/>
    </row>
    <row r="952" spans="1:8" ht="18.5" x14ac:dyDescent="0.45">
      <c r="A952" s="3">
        <v>946</v>
      </c>
      <c r="B952" s="9">
        <f t="shared" si="57"/>
        <v>0.99940983066833611</v>
      </c>
      <c r="C952" s="3">
        <f t="shared" si="58"/>
        <v>4438978.7038964815</v>
      </c>
      <c r="D952" s="3">
        <f t="shared" si="59"/>
        <v>8.4917053701356053</v>
      </c>
      <c r="E952" s="8">
        <f t="shared" si="56"/>
        <v>135.14285714285714</v>
      </c>
      <c r="F952" s="3"/>
      <c r="G952" s="3"/>
      <c r="H952" s="3"/>
    </row>
    <row r="953" spans="1:8" ht="18.5" x14ac:dyDescent="0.45">
      <c r="A953" s="3">
        <v>947</v>
      </c>
      <c r="B953" s="9">
        <f t="shared" si="57"/>
        <v>0.99941173480907208</v>
      </c>
      <c r="C953" s="3">
        <f t="shared" si="58"/>
        <v>4438987.1613279749</v>
      </c>
      <c r="D953" s="3">
        <f t="shared" si="59"/>
        <v>8.4574314933270216</v>
      </c>
      <c r="E953" s="8">
        <f t="shared" si="56"/>
        <v>135.28571428571428</v>
      </c>
      <c r="F953" s="3"/>
      <c r="G953" s="3"/>
      <c r="H953" s="3"/>
    </row>
    <row r="954" spans="1:8" ht="18.5" x14ac:dyDescent="0.45">
      <c r="A954" s="3">
        <v>948</v>
      </c>
      <c r="B954" s="9">
        <f t="shared" si="57"/>
        <v>0.99941363127088545</v>
      </c>
      <c r="C954" s="3">
        <f t="shared" si="58"/>
        <v>4438995.5846527647</v>
      </c>
      <c r="D954" s="3">
        <f t="shared" si="59"/>
        <v>8.4233247898519039</v>
      </c>
      <c r="E954" s="8">
        <f t="shared" si="56"/>
        <v>135.42857142857142</v>
      </c>
      <c r="F954" s="3"/>
      <c r="G954" s="3"/>
      <c r="H954" s="3"/>
    </row>
    <row r="955" spans="1:8" ht="18.5" x14ac:dyDescent="0.45">
      <c r="A955" s="3">
        <v>949</v>
      </c>
      <c r="B955" s="9">
        <f t="shared" si="57"/>
        <v>0.99941552009119827</v>
      </c>
      <c r="C955" s="3">
        <f t="shared" si="58"/>
        <v>4439003.9740370661</v>
      </c>
      <c r="D955" s="3">
        <f t="shared" si="59"/>
        <v>8.389384301379323</v>
      </c>
      <c r="E955" s="8">
        <f t="shared" si="56"/>
        <v>135.57142857142858</v>
      </c>
      <c r="F955" s="3"/>
      <c r="G955" s="3"/>
      <c r="H955" s="3"/>
    </row>
    <row r="956" spans="1:8" ht="18.5" x14ac:dyDescent="0.45">
      <c r="A956" s="3">
        <v>950</v>
      </c>
      <c r="B956" s="9">
        <f t="shared" si="57"/>
        <v>0.99941740130721812</v>
      </c>
      <c r="C956" s="3">
        <f t="shared" si="58"/>
        <v>4439012.3296461403</v>
      </c>
      <c r="D956" s="3">
        <f t="shared" si="59"/>
        <v>8.3556090742349625</v>
      </c>
      <c r="E956" s="8">
        <f t="shared" si="56"/>
        <v>135.71428571428572</v>
      </c>
      <c r="F956" s="3"/>
      <c r="G956" s="3"/>
      <c r="H956" s="3"/>
    </row>
    <row r="957" spans="1:8" ht="18.5" x14ac:dyDescent="0.45">
      <c r="A957" s="3">
        <v>951</v>
      </c>
      <c r="B957" s="9">
        <f t="shared" si="57"/>
        <v>0.99941927495593907</v>
      </c>
      <c r="C957" s="3">
        <f t="shared" si="58"/>
        <v>4439020.6516442988</v>
      </c>
      <c r="D957" s="3">
        <f t="shared" si="59"/>
        <v>8.3219981584697962</v>
      </c>
      <c r="E957" s="8">
        <f t="shared" si="56"/>
        <v>135.85714285714286</v>
      </c>
      <c r="F957" s="3"/>
      <c r="G957" s="3"/>
      <c r="H957" s="3"/>
    </row>
    <row r="958" spans="1:8" ht="18.5" x14ac:dyDescent="0.45">
      <c r="A958" s="3">
        <v>952</v>
      </c>
      <c r="B958" s="9">
        <f t="shared" si="57"/>
        <v>0.99942114107414326</v>
      </c>
      <c r="C958" s="3">
        <f t="shared" si="58"/>
        <v>4439028.940194915</v>
      </c>
      <c r="D958" s="3">
        <f t="shared" si="59"/>
        <v>8.2885506162419915</v>
      </c>
      <c r="E958" s="8">
        <f t="shared" si="56"/>
        <v>136</v>
      </c>
      <c r="F958" s="3"/>
      <c r="G958" s="3"/>
      <c r="H958" s="3"/>
    </row>
    <row r="959" spans="1:8" ht="18.5" x14ac:dyDescent="0.45">
      <c r="A959" s="3">
        <v>953</v>
      </c>
      <c r="B959" s="9">
        <f t="shared" si="57"/>
        <v>0.99942299969840209</v>
      </c>
      <c r="C959" s="3">
        <f t="shared" si="58"/>
        <v>4439037.1954604229</v>
      </c>
      <c r="D959" s="3">
        <f t="shared" si="59"/>
        <v>8.2552655078470707</v>
      </c>
      <c r="E959" s="8">
        <f t="shared" si="56"/>
        <v>136.14285714285714</v>
      </c>
      <c r="F959" s="3"/>
      <c r="G959" s="3"/>
      <c r="H959" s="3"/>
    </row>
    <row r="960" spans="1:8" ht="18.5" x14ac:dyDescent="0.45">
      <c r="A960" s="3">
        <v>954</v>
      </c>
      <c r="B960" s="9">
        <f t="shared" si="57"/>
        <v>0.99942485086507815</v>
      </c>
      <c r="C960" s="3">
        <f t="shared" si="58"/>
        <v>4439045.4176023314</v>
      </c>
      <c r="D960" s="3">
        <f t="shared" si="59"/>
        <v>8.2221419084817171</v>
      </c>
      <c r="E960" s="8">
        <f t="shared" si="56"/>
        <v>136.28571428571428</v>
      </c>
      <c r="F960" s="3"/>
      <c r="G960" s="3"/>
      <c r="H960" s="3"/>
    </row>
    <row r="961" spans="1:8" ht="18.5" x14ac:dyDescent="0.45">
      <c r="A961" s="3">
        <v>955</v>
      </c>
      <c r="B961" s="9">
        <f t="shared" si="57"/>
        <v>0.99942669461032596</v>
      </c>
      <c r="C961" s="3">
        <f t="shared" si="58"/>
        <v>4439053.6067812238</v>
      </c>
      <c r="D961" s="3">
        <f t="shared" si="59"/>
        <v>8.1891788924112916</v>
      </c>
      <c r="E961" s="8">
        <f t="shared" si="56"/>
        <v>136.42857142857142</v>
      </c>
      <c r="F961" s="3"/>
      <c r="G961" s="3"/>
      <c r="H961" s="3"/>
    </row>
    <row r="962" spans="1:8" ht="18.5" x14ac:dyDescent="0.45">
      <c r="A962" s="3">
        <v>956</v>
      </c>
      <c r="B962" s="9">
        <f t="shared" si="57"/>
        <v>0.99942853097009376</v>
      </c>
      <c r="C962" s="3">
        <f t="shared" si="58"/>
        <v>4439061.7631567689</v>
      </c>
      <c r="D962" s="3">
        <f t="shared" si="59"/>
        <v>8.1563755450770259</v>
      </c>
      <c r="E962" s="8">
        <f t="shared" si="56"/>
        <v>136.57142857142858</v>
      </c>
      <c r="F962" s="3"/>
      <c r="G962" s="3"/>
      <c r="H962" s="3"/>
    </row>
    <row r="963" spans="1:8" ht="18.5" x14ac:dyDescent="0.45">
      <c r="A963" s="3">
        <v>957</v>
      </c>
      <c r="B963" s="9">
        <f t="shared" si="57"/>
        <v>0.99943035998012475</v>
      </c>
      <c r="C963" s="3">
        <f t="shared" si="58"/>
        <v>4439069.8868877217</v>
      </c>
      <c r="D963" s="3">
        <f t="shared" si="59"/>
        <v>8.1237309528514743</v>
      </c>
      <c r="E963" s="8">
        <f t="shared" si="56"/>
        <v>136.71428571428572</v>
      </c>
      <c r="F963" s="3"/>
      <c r="G963" s="3"/>
      <c r="H963" s="3"/>
    </row>
    <row r="964" spans="1:8" ht="18.5" x14ac:dyDescent="0.45">
      <c r="A964" s="3">
        <v>958</v>
      </c>
      <c r="B964" s="9">
        <f t="shared" si="57"/>
        <v>0.99943218167595838</v>
      </c>
      <c r="C964" s="3">
        <f t="shared" si="58"/>
        <v>4439077.9781319369</v>
      </c>
      <c r="D964" s="3">
        <f t="shared" si="59"/>
        <v>8.0912442151457071</v>
      </c>
      <c r="E964" s="8">
        <f t="shared" si="56"/>
        <v>136.85714285714286</v>
      </c>
      <c r="F964" s="3"/>
      <c r="G964" s="3"/>
      <c r="H964" s="3"/>
    </row>
    <row r="965" spans="1:8" ht="18.5" x14ac:dyDescent="0.45">
      <c r="A965" s="3">
        <v>959</v>
      </c>
      <c r="B965" s="9">
        <f t="shared" si="57"/>
        <v>0.99943399609293171</v>
      </c>
      <c r="C965" s="3">
        <f t="shared" si="58"/>
        <v>4439086.0370463654</v>
      </c>
      <c r="D965" s="3">
        <f t="shared" si="59"/>
        <v>8.058914428576827</v>
      </c>
      <c r="E965" s="8">
        <f t="shared" si="56"/>
        <v>137</v>
      </c>
      <c r="F965" s="3"/>
      <c r="G965" s="3"/>
      <c r="H965" s="3"/>
    </row>
    <row r="966" spans="1:8" ht="18.5" x14ac:dyDescent="0.45">
      <c r="A966" s="3">
        <v>960</v>
      </c>
      <c r="B966" s="9">
        <f t="shared" si="57"/>
        <v>0.99943580326618098</v>
      </c>
      <c r="C966" s="3">
        <f t="shared" si="58"/>
        <v>4439094.0637870692</v>
      </c>
      <c r="D966" s="3">
        <f t="shared" si="59"/>
        <v>8.0267407037317753</v>
      </c>
      <c r="E966" s="8">
        <f t="shared" si="56"/>
        <v>137.14285714285714</v>
      </c>
      <c r="F966" s="3"/>
      <c r="G966" s="3"/>
      <c r="H966" s="3"/>
    </row>
    <row r="967" spans="1:8" ht="18.5" x14ac:dyDescent="0.45">
      <c r="A967" s="3">
        <v>961</v>
      </c>
      <c r="B967" s="9">
        <f t="shared" si="57"/>
        <v>0.99943760323064235</v>
      </c>
      <c r="C967" s="3">
        <f t="shared" si="58"/>
        <v>4439102.0585092213</v>
      </c>
      <c r="D967" s="3">
        <f t="shared" si="59"/>
        <v>7.9947221521288157</v>
      </c>
      <c r="E967" s="8">
        <f t="shared" ref="E967:E1030" si="60">A967/7</f>
        <v>137.28571428571428</v>
      </c>
      <c r="F967" s="3"/>
      <c r="G967" s="3"/>
      <c r="H967" s="3"/>
    </row>
    <row r="968" spans="1:8" ht="18.5" x14ac:dyDescent="0.45">
      <c r="A968" s="3">
        <v>962</v>
      </c>
      <c r="B968" s="9">
        <f t="shared" ref="B968:B1031" si="61">LOGNORMDIST(A968,$A$3,$B$3)</f>
        <v>0.99943939602105403</v>
      </c>
      <c r="C968" s="3">
        <f t="shared" ref="C968:C1031" si="62">$E$3*B968</f>
        <v>4439110.0213671131</v>
      </c>
      <c r="D968" s="3">
        <f t="shared" ref="D968:D1031" si="63">C968-C967</f>
        <v>7.96285789180547</v>
      </c>
      <c r="E968" s="8">
        <f t="shared" si="60"/>
        <v>137.42857142857142</v>
      </c>
      <c r="F968" s="3"/>
      <c r="G968" s="3"/>
      <c r="H968" s="3"/>
    </row>
    <row r="969" spans="1:8" ht="18.5" x14ac:dyDescent="0.45">
      <c r="A969" s="3">
        <v>963</v>
      </c>
      <c r="B969" s="9">
        <f t="shared" si="61"/>
        <v>0.99944118167195684</v>
      </c>
      <c r="C969" s="3">
        <f t="shared" si="62"/>
        <v>4439117.9525141632</v>
      </c>
      <c r="D969" s="3">
        <f t="shared" si="63"/>
        <v>7.9311470501124859</v>
      </c>
      <c r="E969" s="8">
        <f t="shared" si="60"/>
        <v>137.57142857142858</v>
      </c>
      <c r="F969" s="3"/>
      <c r="G969" s="3"/>
      <c r="H969" s="3"/>
    </row>
    <row r="970" spans="1:8" ht="18.5" x14ac:dyDescent="0.45">
      <c r="A970" s="3">
        <v>964</v>
      </c>
      <c r="B970" s="9">
        <f t="shared" si="61"/>
        <v>0.99944296021769574</v>
      </c>
      <c r="C970" s="3">
        <f t="shared" si="62"/>
        <v>4439125.8521029176</v>
      </c>
      <c r="D970" s="3">
        <f t="shared" si="63"/>
        <v>7.8995887544006109</v>
      </c>
      <c r="E970" s="8">
        <f t="shared" si="60"/>
        <v>137.71428571428572</v>
      </c>
      <c r="F970" s="3"/>
      <c r="G970" s="3"/>
      <c r="H970" s="3"/>
    </row>
    <row r="971" spans="1:8" ht="18.5" x14ac:dyDescent="0.45">
      <c r="A971" s="3">
        <v>965</v>
      </c>
      <c r="B971" s="9">
        <f t="shared" si="61"/>
        <v>0.99944473169242143</v>
      </c>
      <c r="C971" s="3">
        <f t="shared" si="62"/>
        <v>4439133.720285059</v>
      </c>
      <c r="D971" s="3">
        <f t="shared" si="63"/>
        <v>7.8681821413338184</v>
      </c>
      <c r="E971" s="8">
        <f t="shared" si="60"/>
        <v>137.85714285714286</v>
      </c>
      <c r="F971" s="3"/>
      <c r="G971" s="3"/>
      <c r="H971" s="3"/>
    </row>
    <row r="972" spans="1:8" ht="18.5" x14ac:dyDescent="0.45">
      <c r="A972" s="3">
        <v>966</v>
      </c>
      <c r="B972" s="9">
        <f t="shared" si="61"/>
        <v>0.99944649613009118</v>
      </c>
      <c r="C972" s="3">
        <f t="shared" si="62"/>
        <v>4439141.557211413</v>
      </c>
      <c r="D972" s="3">
        <f t="shared" si="63"/>
        <v>7.8369263540953398</v>
      </c>
      <c r="E972" s="8">
        <f t="shared" si="60"/>
        <v>138</v>
      </c>
      <c r="F972" s="3"/>
      <c r="G972" s="3"/>
      <c r="H972" s="3"/>
    </row>
    <row r="973" spans="1:8" ht="18.5" x14ac:dyDescent="0.45">
      <c r="A973" s="3">
        <v>967</v>
      </c>
      <c r="B973" s="9">
        <f t="shared" si="61"/>
        <v>0.9994482535644702</v>
      </c>
      <c r="C973" s="3">
        <f t="shared" si="62"/>
        <v>4439149.3630319508</v>
      </c>
      <c r="D973" s="3">
        <f t="shared" si="63"/>
        <v>7.8058205377310514</v>
      </c>
      <c r="E973" s="8">
        <f t="shared" si="60"/>
        <v>138.14285714285714</v>
      </c>
      <c r="F973" s="3"/>
      <c r="G973" s="3"/>
      <c r="H973" s="3"/>
    </row>
    <row r="974" spans="1:8" ht="18.5" x14ac:dyDescent="0.45">
      <c r="A974" s="3">
        <v>968</v>
      </c>
      <c r="B974" s="9">
        <f t="shared" si="61"/>
        <v>0.9994500040291332</v>
      </c>
      <c r="C974" s="3">
        <f t="shared" si="62"/>
        <v>4439157.1378957983</v>
      </c>
      <c r="D974" s="3">
        <f t="shared" si="63"/>
        <v>7.7748638475313783</v>
      </c>
      <c r="E974" s="8">
        <f t="shared" si="60"/>
        <v>138.28571428571428</v>
      </c>
      <c r="F974" s="3"/>
      <c r="G974" s="3"/>
      <c r="H974" s="3"/>
    </row>
    <row r="975" spans="1:8" ht="18.5" x14ac:dyDescent="0.45">
      <c r="A975" s="3">
        <v>969</v>
      </c>
      <c r="B975" s="9">
        <f t="shared" si="61"/>
        <v>0.99945174755746502</v>
      </c>
      <c r="C975" s="3">
        <f t="shared" si="62"/>
        <v>4439164.8819512371</v>
      </c>
      <c r="D975" s="3">
        <f t="shared" si="63"/>
        <v>7.7440554387867451</v>
      </c>
      <c r="E975" s="8">
        <f t="shared" si="60"/>
        <v>138.42857142857142</v>
      </c>
      <c r="F975" s="3"/>
      <c r="G975" s="3"/>
      <c r="H975" s="3"/>
    </row>
    <row r="976" spans="1:8" ht="18.5" x14ac:dyDescent="0.45">
      <c r="A976" s="3">
        <v>970</v>
      </c>
      <c r="B976" s="9">
        <f t="shared" si="61"/>
        <v>0.99945348418266278</v>
      </c>
      <c r="C976" s="3">
        <f t="shared" si="62"/>
        <v>4439172.5953457151</v>
      </c>
      <c r="D976" s="3">
        <f t="shared" si="63"/>
        <v>7.7133944779634476</v>
      </c>
      <c r="E976" s="8">
        <f t="shared" si="60"/>
        <v>138.57142857142858</v>
      </c>
      <c r="F976" s="3"/>
      <c r="G976" s="3"/>
      <c r="H976" s="3"/>
    </row>
    <row r="977" spans="1:8" ht="18.5" x14ac:dyDescent="0.45">
      <c r="A977" s="3">
        <v>971</v>
      </c>
      <c r="B977" s="9">
        <f t="shared" si="61"/>
        <v>0.99945521393773595</v>
      </c>
      <c r="C977" s="3">
        <f t="shared" si="62"/>
        <v>4439180.2782258485</v>
      </c>
      <c r="D977" s="3">
        <f t="shared" si="63"/>
        <v>7.6828801333904266</v>
      </c>
      <c r="E977" s="8">
        <f t="shared" si="60"/>
        <v>138.71428571428572</v>
      </c>
      <c r="F977" s="3"/>
      <c r="G977" s="3"/>
      <c r="H977" s="3"/>
    </row>
    <row r="978" spans="1:8" ht="18.5" x14ac:dyDescent="0.45">
      <c r="A978" s="3">
        <v>972</v>
      </c>
      <c r="B978" s="9">
        <f t="shared" si="61"/>
        <v>0.99945693685550874</v>
      </c>
      <c r="C978" s="3">
        <f t="shared" si="62"/>
        <v>4439187.9307374274</v>
      </c>
      <c r="D978" s="3">
        <f t="shared" si="63"/>
        <v>7.6525115789845586</v>
      </c>
      <c r="E978" s="8">
        <f t="shared" si="60"/>
        <v>138.85714285714286</v>
      </c>
      <c r="F978" s="3"/>
      <c r="G978" s="3"/>
      <c r="H978" s="3"/>
    </row>
    <row r="979" spans="1:8" ht="18.5" x14ac:dyDescent="0.45">
      <c r="A979" s="3">
        <v>973</v>
      </c>
      <c r="B979" s="9">
        <f t="shared" si="61"/>
        <v>0.99945865296862024</v>
      </c>
      <c r="C979" s="3">
        <f t="shared" si="62"/>
        <v>4439195.5530254235</v>
      </c>
      <c r="D979" s="3">
        <f t="shared" si="63"/>
        <v>7.6222879961133003</v>
      </c>
      <c r="E979" s="8">
        <f t="shared" si="60"/>
        <v>139</v>
      </c>
      <c r="F979" s="3"/>
      <c r="G979" s="3"/>
      <c r="H979" s="3"/>
    </row>
    <row r="980" spans="1:8" ht="18.5" x14ac:dyDescent="0.45">
      <c r="A980" s="3">
        <v>974</v>
      </c>
      <c r="B980" s="9">
        <f t="shared" si="61"/>
        <v>0.99946036230952651</v>
      </c>
      <c r="C980" s="3">
        <f t="shared" si="62"/>
        <v>4439203.1452339925</v>
      </c>
      <c r="D980" s="3">
        <f t="shared" si="63"/>
        <v>7.5922085689380765</v>
      </c>
      <c r="E980" s="8">
        <f t="shared" si="60"/>
        <v>139.14285714285714</v>
      </c>
      <c r="F980" s="3"/>
      <c r="G980" s="3"/>
      <c r="H980" s="3"/>
    </row>
    <row r="981" spans="1:8" ht="18.5" x14ac:dyDescent="0.45">
      <c r="A981" s="3">
        <v>975</v>
      </c>
      <c r="B981" s="9">
        <f t="shared" si="61"/>
        <v>0.99946206491050127</v>
      </c>
      <c r="C981" s="3">
        <f t="shared" si="62"/>
        <v>4439210.7075064825</v>
      </c>
      <c r="D981" s="3">
        <f t="shared" si="63"/>
        <v>7.5622724900022149</v>
      </c>
      <c r="E981" s="8">
        <f t="shared" si="60"/>
        <v>139.28571428571428</v>
      </c>
      <c r="F981" s="3"/>
      <c r="G981" s="3"/>
      <c r="H981" s="3"/>
    </row>
    <row r="982" spans="1:8" ht="18.5" x14ac:dyDescent="0.45">
      <c r="A982" s="3">
        <v>976</v>
      </c>
      <c r="B982" s="9">
        <f t="shared" si="61"/>
        <v>0.99946376080363697</v>
      </c>
      <c r="C982" s="3">
        <f t="shared" si="62"/>
        <v>4439218.2399854343</v>
      </c>
      <c r="D982" s="3">
        <f t="shared" si="63"/>
        <v>7.5324789518490434</v>
      </c>
      <c r="E982" s="8">
        <f t="shared" si="60"/>
        <v>139.42857142857142</v>
      </c>
      <c r="F982" s="3"/>
      <c r="G982" s="3"/>
      <c r="H982" s="3"/>
    </row>
    <row r="983" spans="1:8" ht="18.5" x14ac:dyDescent="0.45">
      <c r="A983" s="3">
        <v>977</v>
      </c>
      <c r="B983" s="9">
        <f t="shared" si="61"/>
        <v>0.99946545002084664</v>
      </c>
      <c r="C983" s="3">
        <f t="shared" si="62"/>
        <v>4439225.7428125925</v>
      </c>
      <c r="D983" s="3">
        <f t="shared" si="63"/>
        <v>7.5028271581977606</v>
      </c>
      <c r="E983" s="8">
        <f t="shared" si="60"/>
        <v>139.57142857142858</v>
      </c>
      <c r="F983" s="3"/>
      <c r="G983" s="3"/>
      <c r="H983" s="3"/>
    </row>
    <row r="984" spans="1:8" ht="18.5" x14ac:dyDescent="0.45">
      <c r="A984" s="3">
        <v>978</v>
      </c>
      <c r="B984" s="9">
        <f t="shared" si="61"/>
        <v>0.99946713259386422</v>
      </c>
      <c r="C984" s="3">
        <f t="shared" si="62"/>
        <v>4439233.2161289072</v>
      </c>
      <c r="D984" s="3">
        <f t="shared" si="63"/>
        <v>7.4733163146302104</v>
      </c>
      <c r="E984" s="8">
        <f t="shared" si="60"/>
        <v>139.71428571428572</v>
      </c>
      <c r="F984" s="3"/>
      <c r="G984" s="3"/>
      <c r="H984" s="3"/>
    </row>
    <row r="985" spans="1:8" ht="18.5" x14ac:dyDescent="0.45">
      <c r="A985" s="3">
        <v>979</v>
      </c>
      <c r="B985" s="9">
        <f t="shared" si="61"/>
        <v>0.99946880855424614</v>
      </c>
      <c r="C985" s="3">
        <f t="shared" si="62"/>
        <v>4439240.6600745395</v>
      </c>
      <c r="D985" s="3">
        <f t="shared" si="63"/>
        <v>7.4439456323161721</v>
      </c>
      <c r="E985" s="8">
        <f t="shared" si="60"/>
        <v>139.85714285714286</v>
      </c>
      <c r="F985" s="3"/>
      <c r="G985" s="3"/>
      <c r="H985" s="3"/>
    </row>
    <row r="986" spans="1:8" ht="18.5" x14ac:dyDescent="0.45">
      <c r="A986" s="3">
        <v>980</v>
      </c>
      <c r="B986" s="9">
        <f t="shared" si="61"/>
        <v>0.99947047793337251</v>
      </c>
      <c r="C986" s="3">
        <f t="shared" si="62"/>
        <v>4439248.0747888675</v>
      </c>
      <c r="D986" s="3">
        <f t="shared" si="63"/>
        <v>7.4147143280133605</v>
      </c>
      <c r="E986" s="8">
        <f t="shared" si="60"/>
        <v>140</v>
      </c>
      <c r="F986" s="3"/>
      <c r="G986" s="3"/>
      <c r="H986" s="3"/>
    </row>
    <row r="987" spans="1:8" ht="18.5" x14ac:dyDescent="0.45">
      <c r="A987" s="3">
        <v>981</v>
      </c>
      <c r="B987" s="9">
        <f t="shared" si="61"/>
        <v>0.99947214076244828</v>
      </c>
      <c r="C987" s="3">
        <f t="shared" si="62"/>
        <v>4439255.4604104906</v>
      </c>
      <c r="D987" s="3">
        <f t="shared" si="63"/>
        <v>7.3856216231361032</v>
      </c>
      <c r="E987" s="8">
        <f t="shared" si="60"/>
        <v>140.14285714285714</v>
      </c>
      <c r="F987" s="3"/>
      <c r="G987" s="3"/>
      <c r="H987" s="3"/>
    </row>
    <row r="988" spans="1:8" ht="18.5" x14ac:dyDescent="0.45">
      <c r="A988" s="3">
        <v>982</v>
      </c>
      <c r="B988" s="9">
        <f t="shared" si="61"/>
        <v>0.99947379707250406</v>
      </c>
      <c r="C988" s="3">
        <f t="shared" si="62"/>
        <v>4439262.8170772344</v>
      </c>
      <c r="D988" s="3">
        <f t="shared" si="63"/>
        <v>7.3566667437553406</v>
      </c>
      <c r="E988" s="8">
        <f t="shared" si="60"/>
        <v>140.28571428571428</v>
      </c>
      <c r="F988" s="3"/>
      <c r="G988" s="3"/>
      <c r="H988" s="3"/>
    </row>
    <row r="989" spans="1:8" ht="18.5" x14ac:dyDescent="0.45">
      <c r="A989" s="3">
        <v>983</v>
      </c>
      <c r="B989" s="9">
        <f t="shared" si="61"/>
        <v>0.99947544689439738</v>
      </c>
      <c r="C989" s="3">
        <f t="shared" si="62"/>
        <v>4439270.144926155</v>
      </c>
      <c r="D989" s="3">
        <f t="shared" si="63"/>
        <v>7.3278489205986261</v>
      </c>
      <c r="E989" s="8">
        <f t="shared" si="60"/>
        <v>140.42857142857142</v>
      </c>
      <c r="F989" s="3"/>
      <c r="G989" s="3"/>
      <c r="H989" s="3"/>
    </row>
    <row r="990" spans="1:8" ht="18.5" x14ac:dyDescent="0.45">
      <c r="A990" s="3">
        <v>984</v>
      </c>
      <c r="B990" s="9">
        <f t="shared" si="61"/>
        <v>0.99947709025881415</v>
      </c>
      <c r="C990" s="3">
        <f t="shared" si="62"/>
        <v>4439277.4440935487</v>
      </c>
      <c r="D990" s="3">
        <f t="shared" si="63"/>
        <v>7.2991673937067389</v>
      </c>
      <c r="E990" s="8">
        <f t="shared" si="60"/>
        <v>140.57142857142858</v>
      </c>
      <c r="F990" s="3"/>
      <c r="G990" s="3"/>
      <c r="H990" s="3"/>
    </row>
    <row r="991" spans="1:8" ht="18.5" x14ac:dyDescent="0.45">
      <c r="A991" s="3">
        <v>985</v>
      </c>
      <c r="B991" s="9">
        <f t="shared" si="61"/>
        <v>0.99947872719626918</v>
      </c>
      <c r="C991" s="3">
        <f t="shared" si="62"/>
        <v>4439284.714714949</v>
      </c>
      <c r="D991" s="3">
        <f t="shared" si="63"/>
        <v>7.2706214003264904</v>
      </c>
      <c r="E991" s="8">
        <f t="shared" si="60"/>
        <v>140.71428571428572</v>
      </c>
      <c r="F991" s="3"/>
      <c r="G991" s="3"/>
      <c r="H991" s="3"/>
    </row>
    <row r="992" spans="1:8" ht="18.5" x14ac:dyDescent="0.45">
      <c r="A992" s="3">
        <v>986</v>
      </c>
      <c r="B992" s="9">
        <f t="shared" si="61"/>
        <v>0.99948035773710786</v>
      </c>
      <c r="C992" s="3">
        <f t="shared" si="62"/>
        <v>4439291.9569251379</v>
      </c>
      <c r="D992" s="3">
        <f t="shared" si="63"/>
        <v>7.2422101888805628</v>
      </c>
      <c r="E992" s="8">
        <f t="shared" si="60"/>
        <v>140.85714285714286</v>
      </c>
      <c r="F992" s="3"/>
      <c r="G992" s="3"/>
      <c r="H992" s="3"/>
    </row>
    <row r="993" spans="1:8" ht="18.5" x14ac:dyDescent="0.45">
      <c r="A993" s="3">
        <v>987</v>
      </c>
      <c r="B993" s="9">
        <f t="shared" si="61"/>
        <v>0.99948198191150672</v>
      </c>
      <c r="C993" s="3">
        <f t="shared" si="62"/>
        <v>4439299.1708581485</v>
      </c>
      <c r="D993" s="3">
        <f t="shared" si="63"/>
        <v>7.2139330105856061</v>
      </c>
      <c r="E993" s="8">
        <f t="shared" si="60"/>
        <v>141</v>
      </c>
      <c r="F993" s="3"/>
      <c r="G993" s="3"/>
      <c r="H993" s="3"/>
    </row>
    <row r="994" spans="1:8" ht="18.5" x14ac:dyDescent="0.45">
      <c r="A994" s="3">
        <v>988</v>
      </c>
      <c r="B994" s="9">
        <f t="shared" si="61"/>
        <v>0.99948359974947476</v>
      </c>
      <c r="C994" s="3">
        <f t="shared" si="62"/>
        <v>4439306.356647267</v>
      </c>
      <c r="D994" s="3">
        <f t="shared" si="63"/>
        <v>7.1857891185209155</v>
      </c>
      <c r="E994" s="8">
        <f t="shared" si="60"/>
        <v>141.14285714285714</v>
      </c>
      <c r="F994" s="3"/>
      <c r="G994" s="3"/>
      <c r="H994" s="3"/>
    </row>
    <row r="995" spans="1:8" ht="18.5" x14ac:dyDescent="0.45">
      <c r="A995" s="3">
        <v>989</v>
      </c>
      <c r="B995" s="9">
        <f t="shared" si="61"/>
        <v>0.99948521128085466</v>
      </c>
      <c r="C995" s="3">
        <f t="shared" si="62"/>
        <v>4439313.5144250439</v>
      </c>
      <c r="D995" s="3">
        <f t="shared" si="63"/>
        <v>7.1577777769416571</v>
      </c>
      <c r="E995" s="8">
        <f t="shared" si="60"/>
        <v>141.28571428571428</v>
      </c>
      <c r="F995" s="3"/>
      <c r="G995" s="3"/>
      <c r="H995" s="3"/>
    </row>
    <row r="996" spans="1:8" ht="18.5" x14ac:dyDescent="0.45">
      <c r="A996" s="3">
        <v>990</v>
      </c>
      <c r="B996" s="9">
        <f t="shared" si="61"/>
        <v>0.99948681653532367</v>
      </c>
      <c r="C996" s="3">
        <f t="shared" si="62"/>
        <v>4439320.6443232941</v>
      </c>
      <c r="D996" s="3">
        <f t="shared" si="63"/>
        <v>7.1298982501029968</v>
      </c>
      <c r="E996" s="8">
        <f t="shared" si="60"/>
        <v>141.42857142857142</v>
      </c>
      <c r="F996" s="3"/>
      <c r="G996" s="3"/>
      <c r="H996" s="3"/>
    </row>
    <row r="997" spans="1:8" ht="18.5" x14ac:dyDescent="0.45">
      <c r="A997" s="3">
        <v>991</v>
      </c>
      <c r="B997" s="9">
        <f t="shared" si="61"/>
        <v>0.99948841554239465</v>
      </c>
      <c r="C997" s="3">
        <f t="shared" si="62"/>
        <v>4439327.7464731</v>
      </c>
      <c r="D997" s="3">
        <f t="shared" si="63"/>
        <v>7.1021498059853911</v>
      </c>
      <c r="E997" s="8">
        <f t="shared" si="60"/>
        <v>141.57142857142858</v>
      </c>
      <c r="F997" s="3"/>
      <c r="G997" s="3"/>
      <c r="H997" s="3"/>
    </row>
    <row r="998" spans="1:8" ht="18.5" x14ac:dyDescent="0.45">
      <c r="A998" s="3">
        <v>992</v>
      </c>
      <c r="B998" s="9">
        <f t="shared" si="61"/>
        <v>0.9994900083314171</v>
      </c>
      <c r="C998" s="3">
        <f t="shared" si="62"/>
        <v>4439334.8210048219</v>
      </c>
      <c r="D998" s="3">
        <f t="shared" si="63"/>
        <v>7.0745317218825221</v>
      </c>
      <c r="E998" s="8">
        <f t="shared" si="60"/>
        <v>141.71428571428572</v>
      </c>
      <c r="F998" s="3"/>
      <c r="G998" s="3"/>
      <c r="H998" s="3"/>
    </row>
    <row r="999" spans="1:8" ht="18.5" x14ac:dyDescent="0.45">
      <c r="A999" s="3">
        <v>993</v>
      </c>
      <c r="B999" s="9">
        <f t="shared" si="61"/>
        <v>0.99949159493157846</v>
      </c>
      <c r="C999" s="3">
        <f t="shared" si="62"/>
        <v>4439341.8680480989</v>
      </c>
      <c r="D999" s="3">
        <f t="shared" si="63"/>
        <v>7.047043276950717</v>
      </c>
      <c r="E999" s="8">
        <f t="shared" si="60"/>
        <v>141.85714285714286</v>
      </c>
      <c r="F999" s="3"/>
      <c r="G999" s="3"/>
      <c r="H999" s="3"/>
    </row>
    <row r="1000" spans="1:8" ht="18.5" x14ac:dyDescent="0.45">
      <c r="A1000" s="3">
        <v>994</v>
      </c>
      <c r="B1000" s="9">
        <f t="shared" si="61"/>
        <v>0.99949317537190485</v>
      </c>
      <c r="C1000" s="3">
        <f t="shared" si="62"/>
        <v>4439348.8877318529</v>
      </c>
      <c r="D1000" s="3">
        <f t="shared" si="63"/>
        <v>7.0196837540715933</v>
      </c>
      <c r="E1000" s="8">
        <f t="shared" si="60"/>
        <v>142</v>
      </c>
      <c r="F1000" s="3"/>
      <c r="G1000" s="3"/>
      <c r="H1000" s="3"/>
    </row>
    <row r="1001" spans="1:8" ht="18.5" x14ac:dyDescent="0.45">
      <c r="A1001" s="3">
        <v>995</v>
      </c>
      <c r="B1001" s="9">
        <f t="shared" si="61"/>
        <v>0.99949474968126206</v>
      </c>
      <c r="C1001" s="3">
        <f t="shared" si="62"/>
        <v>4439355.8801842937</v>
      </c>
      <c r="D1001" s="3">
        <f t="shared" si="63"/>
        <v>6.9924524407833815</v>
      </c>
      <c r="E1001" s="8">
        <f t="shared" si="60"/>
        <v>142.14285714285714</v>
      </c>
      <c r="F1001" s="3"/>
      <c r="G1001" s="3"/>
      <c r="H1001" s="3"/>
    </row>
    <row r="1002" spans="1:8" ht="18.5" x14ac:dyDescent="0.45">
      <c r="A1002" s="3">
        <v>996</v>
      </c>
      <c r="B1002" s="9">
        <f t="shared" si="61"/>
        <v>0.99949631788835702</v>
      </c>
      <c r="C1002" s="3">
        <f t="shared" si="62"/>
        <v>4439362.8455329267</v>
      </c>
      <c r="D1002" s="3">
        <f t="shared" si="63"/>
        <v>6.9653486330062151</v>
      </c>
      <c r="E1002" s="8">
        <f t="shared" si="60"/>
        <v>142.28571428571428</v>
      </c>
      <c r="F1002" s="3"/>
      <c r="G1002" s="3"/>
      <c r="H1002" s="3"/>
    </row>
    <row r="1003" spans="1:8" ht="18.5" x14ac:dyDescent="0.45">
      <c r="A1003" s="3">
        <v>997</v>
      </c>
      <c r="B1003" s="9">
        <f t="shared" si="61"/>
        <v>0.99949788002173823</v>
      </c>
      <c r="C1003" s="3">
        <f t="shared" si="62"/>
        <v>4439369.7839045525</v>
      </c>
      <c r="D1003" s="3">
        <f t="shared" si="63"/>
        <v>6.9383716257289052</v>
      </c>
      <c r="E1003" s="8">
        <f t="shared" si="60"/>
        <v>142.42857142857142</v>
      </c>
      <c r="F1003" s="3"/>
      <c r="G1003" s="3"/>
      <c r="H1003" s="3"/>
    </row>
    <row r="1004" spans="1:8" ht="18.5" x14ac:dyDescent="0.45">
      <c r="A1004" s="3">
        <v>998</v>
      </c>
      <c r="B1004" s="9">
        <f t="shared" si="61"/>
        <v>0.99949943610979708</v>
      </c>
      <c r="C1004" s="3">
        <f t="shared" si="62"/>
        <v>4439376.6954252748</v>
      </c>
      <c r="D1004" s="3">
        <f t="shared" si="63"/>
        <v>6.911520722322166</v>
      </c>
      <c r="E1004" s="8">
        <f t="shared" si="60"/>
        <v>142.57142857142858</v>
      </c>
      <c r="F1004" s="3"/>
      <c r="G1004" s="3"/>
      <c r="H1004" s="3"/>
    </row>
    <row r="1005" spans="1:8" ht="18.5" x14ac:dyDescent="0.45">
      <c r="A1005" s="3">
        <v>999</v>
      </c>
      <c r="B1005" s="9">
        <f t="shared" si="61"/>
        <v>0.9995009861807691</v>
      </c>
      <c r="C1005" s="3">
        <f t="shared" si="62"/>
        <v>4439383.5802205037</v>
      </c>
      <c r="D1005" s="3">
        <f t="shared" si="63"/>
        <v>6.8847952289506793</v>
      </c>
      <c r="E1005" s="8">
        <f t="shared" si="60"/>
        <v>142.71428571428572</v>
      </c>
      <c r="F1005" s="3"/>
      <c r="G1005" s="3"/>
      <c r="H1005" s="3"/>
    </row>
    <row r="1006" spans="1:8" ht="18.5" x14ac:dyDescent="0.45">
      <c r="A1006" s="3">
        <v>1000</v>
      </c>
      <c r="B1006" s="9">
        <f t="shared" si="61"/>
        <v>0.99950253026273417</v>
      </c>
      <c r="C1006" s="3">
        <f t="shared" si="62"/>
        <v>4439390.4384149602</v>
      </c>
      <c r="D1006" s="3">
        <f t="shared" si="63"/>
        <v>6.85819445643574</v>
      </c>
      <c r="E1006" s="8">
        <f t="shared" si="60"/>
        <v>142.85714285714286</v>
      </c>
      <c r="F1006" s="3"/>
      <c r="G1006" s="3"/>
      <c r="H1006" s="3"/>
    </row>
    <row r="1007" spans="1:8" ht="18.5" x14ac:dyDescent="0.45">
      <c r="A1007" s="3">
        <v>1001</v>
      </c>
      <c r="B1007" s="9">
        <f t="shared" si="61"/>
        <v>0.99950406838361849</v>
      </c>
      <c r="C1007" s="3">
        <f t="shared" si="62"/>
        <v>4439397.2701326795</v>
      </c>
      <c r="D1007" s="3">
        <f t="shared" si="63"/>
        <v>6.8317177193239331</v>
      </c>
      <c r="E1007" s="8">
        <f t="shared" si="60"/>
        <v>143</v>
      </c>
      <c r="F1007" s="3"/>
      <c r="G1007" s="3"/>
      <c r="H1007" s="3"/>
    </row>
    <row r="1008" spans="1:8" ht="18.5" x14ac:dyDescent="0.45">
      <c r="A1008" s="3">
        <v>1002</v>
      </c>
      <c r="B1008" s="9">
        <f t="shared" si="61"/>
        <v>0.99950560057119464</v>
      </c>
      <c r="C1008" s="3">
        <f t="shared" si="62"/>
        <v>4439404.0754970182</v>
      </c>
      <c r="D1008" s="3">
        <f t="shared" si="63"/>
        <v>6.8053643386811018</v>
      </c>
      <c r="E1008" s="8">
        <f t="shared" si="60"/>
        <v>143.14285714285714</v>
      </c>
      <c r="F1008" s="3"/>
      <c r="G1008" s="3"/>
      <c r="H1008" s="3"/>
    </row>
    <row r="1009" spans="1:8" ht="18.5" x14ac:dyDescent="0.45">
      <c r="A1009" s="3">
        <v>1003</v>
      </c>
      <c r="B1009" s="9">
        <f t="shared" si="61"/>
        <v>0.99950712685308318</v>
      </c>
      <c r="C1009" s="3">
        <f t="shared" si="62"/>
        <v>4439410.8546306547</v>
      </c>
      <c r="D1009" s="3">
        <f t="shared" si="63"/>
        <v>6.7791336365044117</v>
      </c>
      <c r="E1009" s="8">
        <f t="shared" si="60"/>
        <v>143.28571428571428</v>
      </c>
      <c r="F1009" s="3"/>
      <c r="G1009" s="3"/>
      <c r="H1009" s="3"/>
    </row>
    <row r="1010" spans="1:8" ht="18.5" x14ac:dyDescent="0.45">
      <c r="A1010" s="3">
        <v>1004</v>
      </c>
      <c r="B1010" s="9">
        <f t="shared" si="61"/>
        <v>0.99950864725675337</v>
      </c>
      <c r="C1010" s="3">
        <f t="shared" si="62"/>
        <v>4439417.607655596</v>
      </c>
      <c r="D1010" s="3">
        <f t="shared" si="63"/>
        <v>6.7530249413102865</v>
      </c>
      <c r="E1010" s="8">
        <f t="shared" si="60"/>
        <v>143.42857142857142</v>
      </c>
      <c r="F1010" s="3"/>
      <c r="G1010" s="3"/>
      <c r="H1010" s="3"/>
    </row>
    <row r="1011" spans="1:8" ht="18.5" x14ac:dyDescent="0.45">
      <c r="A1011" s="3">
        <v>1005</v>
      </c>
      <c r="B1011" s="9">
        <f t="shared" si="61"/>
        <v>0.99951016180952423</v>
      </c>
      <c r="C1011" s="3">
        <f t="shared" si="62"/>
        <v>4439424.3346931832</v>
      </c>
      <c r="D1011" s="3">
        <f t="shared" si="63"/>
        <v>6.7270375872030854</v>
      </c>
      <c r="E1011" s="8">
        <f t="shared" si="60"/>
        <v>143.57142857142858</v>
      </c>
      <c r="F1011" s="3"/>
      <c r="G1011" s="3"/>
      <c r="H1011" s="3"/>
    </row>
    <row r="1012" spans="1:8" ht="18.5" x14ac:dyDescent="0.45">
      <c r="A1012" s="3">
        <v>1006</v>
      </c>
      <c r="B1012" s="9">
        <f t="shared" si="61"/>
        <v>0.99951167053856516</v>
      </c>
      <c r="C1012" s="3">
        <f t="shared" si="62"/>
        <v>4439431.0358640905</v>
      </c>
      <c r="D1012" s="3">
        <f t="shared" si="63"/>
        <v>6.701170907355845</v>
      </c>
      <c r="E1012" s="8">
        <f t="shared" si="60"/>
        <v>143.71428571428572</v>
      </c>
      <c r="F1012" s="3"/>
      <c r="G1012" s="3"/>
      <c r="H1012" s="3"/>
    </row>
    <row r="1013" spans="1:8" ht="18.5" x14ac:dyDescent="0.45">
      <c r="A1013" s="3">
        <v>1007</v>
      </c>
      <c r="B1013" s="9">
        <f t="shared" si="61"/>
        <v>0.99951317347089752</v>
      </c>
      <c r="C1013" s="3">
        <f t="shared" si="62"/>
        <v>4439437.7112883385</v>
      </c>
      <c r="D1013" s="3">
        <f t="shared" si="63"/>
        <v>6.6754242479801178</v>
      </c>
      <c r="E1013" s="8">
        <f t="shared" si="60"/>
        <v>143.85714285714286</v>
      </c>
      <c r="F1013" s="3"/>
      <c r="G1013" s="3"/>
      <c r="H1013" s="3"/>
    </row>
    <row r="1014" spans="1:8" ht="18.5" x14ac:dyDescent="0.45">
      <c r="A1014" s="3">
        <v>1008</v>
      </c>
      <c r="B1014" s="9">
        <f t="shared" si="61"/>
        <v>0.99951467063339483</v>
      </c>
      <c r="C1014" s="3">
        <f t="shared" si="62"/>
        <v>4439444.3610852864</v>
      </c>
      <c r="D1014" s="3">
        <f t="shared" si="63"/>
        <v>6.6497969478368759</v>
      </c>
      <c r="E1014" s="8">
        <f t="shared" si="60"/>
        <v>144</v>
      </c>
      <c r="F1014" s="3"/>
      <c r="G1014" s="3"/>
      <c r="H1014" s="3"/>
    </row>
    <row r="1015" spans="1:8" ht="18.5" x14ac:dyDescent="0.45">
      <c r="A1015" s="3">
        <v>1009</v>
      </c>
      <c r="B1015" s="9">
        <f t="shared" si="61"/>
        <v>0.99951616205278426</v>
      </c>
      <c r="C1015" s="3">
        <f t="shared" si="62"/>
        <v>4439450.985373647</v>
      </c>
      <c r="D1015" s="3">
        <f t="shared" si="63"/>
        <v>6.6242883605882525</v>
      </c>
      <c r="E1015" s="8">
        <f t="shared" si="60"/>
        <v>144.14285714285714</v>
      </c>
      <c r="F1015" s="3"/>
      <c r="G1015" s="3"/>
      <c r="H1015" s="3"/>
    </row>
    <row r="1016" spans="1:8" ht="18.5" x14ac:dyDescent="0.45">
      <c r="A1016" s="3">
        <v>1010</v>
      </c>
      <c r="B1016" s="9">
        <f t="shared" si="61"/>
        <v>0.99951764775564711</v>
      </c>
      <c r="C1016" s="3">
        <f t="shared" si="62"/>
        <v>4439457.5842714822</v>
      </c>
      <c r="D1016" s="3">
        <f t="shared" si="63"/>
        <v>6.598897835239768</v>
      </c>
      <c r="E1016" s="8">
        <f t="shared" si="60"/>
        <v>144.28571428571428</v>
      </c>
      <c r="F1016" s="3"/>
      <c r="G1016" s="3"/>
      <c r="H1016" s="3"/>
    </row>
    <row r="1017" spans="1:8" ht="18.5" x14ac:dyDescent="0.45">
      <c r="A1017" s="3">
        <v>1011</v>
      </c>
      <c r="B1017" s="9">
        <f t="shared" si="61"/>
        <v>0.99951912776842033</v>
      </c>
      <c r="C1017" s="3">
        <f t="shared" si="62"/>
        <v>4439464.157896216</v>
      </c>
      <c r="D1017" s="3">
        <f t="shared" si="63"/>
        <v>6.5736247338354588</v>
      </c>
      <c r="E1017" s="8">
        <f t="shared" si="60"/>
        <v>144.42857142857142</v>
      </c>
      <c r="F1017" s="3"/>
      <c r="G1017" s="3"/>
      <c r="H1017" s="3"/>
    </row>
    <row r="1018" spans="1:8" ht="18.5" x14ac:dyDescent="0.45">
      <c r="A1018" s="3">
        <v>1012</v>
      </c>
      <c r="B1018" s="9">
        <f t="shared" si="61"/>
        <v>0.99952060211739679</v>
      </c>
      <c r="C1018" s="3">
        <f t="shared" si="62"/>
        <v>4439470.7063646298</v>
      </c>
      <c r="D1018" s="3">
        <f t="shared" si="63"/>
        <v>6.5484684137627482</v>
      </c>
      <c r="E1018" s="8">
        <f t="shared" si="60"/>
        <v>144.57142857142858</v>
      </c>
      <c r="F1018" s="3"/>
      <c r="G1018" s="3"/>
      <c r="H1018" s="3"/>
    </row>
    <row r="1019" spans="1:8" ht="18.5" x14ac:dyDescent="0.45">
      <c r="A1019" s="3">
        <v>1013</v>
      </c>
      <c r="B1019" s="9">
        <f t="shared" si="61"/>
        <v>0.99952207082872635</v>
      </c>
      <c r="C1019" s="3">
        <f t="shared" si="62"/>
        <v>4439477.2297928706</v>
      </c>
      <c r="D1019" s="3">
        <f t="shared" si="63"/>
        <v>6.5234282407909632</v>
      </c>
      <c r="E1019" s="8">
        <f t="shared" si="60"/>
        <v>144.71428571428572</v>
      </c>
      <c r="F1019" s="3"/>
      <c r="G1019" s="3"/>
      <c r="H1019" s="3"/>
    </row>
    <row r="1020" spans="1:8" ht="18.5" x14ac:dyDescent="0.45">
      <c r="A1020" s="3">
        <v>1014</v>
      </c>
      <c r="B1020" s="9">
        <f t="shared" si="61"/>
        <v>0.99952353392841709</v>
      </c>
      <c r="C1020" s="3">
        <f t="shared" si="62"/>
        <v>4439483.7282964578</v>
      </c>
      <c r="D1020" s="3">
        <f t="shared" si="63"/>
        <v>6.4985035872086883</v>
      </c>
      <c r="E1020" s="8">
        <f t="shared" si="60"/>
        <v>144.85714285714286</v>
      </c>
      <c r="F1020" s="3"/>
      <c r="G1020" s="3"/>
      <c r="H1020" s="3"/>
    </row>
    <row r="1021" spans="1:8" ht="18.5" x14ac:dyDescent="0.45">
      <c r="A1021" s="3">
        <v>1015</v>
      </c>
      <c r="B1021" s="9">
        <f t="shared" si="61"/>
        <v>0.99952499144233597</v>
      </c>
      <c r="C1021" s="3">
        <f t="shared" si="62"/>
        <v>4439490.2019902794</v>
      </c>
      <c r="D1021" s="3">
        <f t="shared" si="63"/>
        <v>6.4736938215792179</v>
      </c>
      <c r="E1021" s="8">
        <f t="shared" si="60"/>
        <v>145</v>
      </c>
      <c r="F1021" s="3"/>
      <c r="G1021" s="3"/>
      <c r="H1021" s="3"/>
    </row>
    <row r="1022" spans="1:8" ht="18.5" x14ac:dyDescent="0.45">
      <c r="A1022" s="3">
        <v>1016</v>
      </c>
      <c r="B1022" s="9">
        <f t="shared" si="61"/>
        <v>0.99952644339620944</v>
      </c>
      <c r="C1022" s="3">
        <f t="shared" si="62"/>
        <v>4439496.6509886039</v>
      </c>
      <c r="D1022" s="3">
        <f t="shared" si="63"/>
        <v>6.44899832457304</v>
      </c>
      <c r="E1022" s="8">
        <f t="shared" si="60"/>
        <v>145.14285714285714</v>
      </c>
      <c r="F1022" s="3"/>
      <c r="G1022" s="3"/>
      <c r="H1022" s="3"/>
    </row>
    <row r="1023" spans="1:8" ht="18.5" x14ac:dyDescent="0.45">
      <c r="A1023" s="3">
        <v>1017</v>
      </c>
      <c r="B1023" s="9">
        <f t="shared" si="61"/>
        <v>0.9995278898156249</v>
      </c>
      <c r="C1023" s="3">
        <f t="shared" si="62"/>
        <v>4439503.0754050799</v>
      </c>
      <c r="D1023" s="3">
        <f t="shared" si="63"/>
        <v>6.4244164759293199</v>
      </c>
      <c r="E1023" s="8">
        <f t="shared" si="60"/>
        <v>145.28571428571428</v>
      </c>
      <c r="F1023" s="3"/>
      <c r="G1023" s="3"/>
      <c r="H1023" s="3"/>
    </row>
    <row r="1024" spans="1:8" ht="18.5" x14ac:dyDescent="0.45">
      <c r="A1024" s="3">
        <v>1018</v>
      </c>
      <c r="B1024" s="9">
        <f t="shared" si="61"/>
        <v>0.9995293307260309</v>
      </c>
      <c r="C1024" s="3">
        <f t="shared" si="62"/>
        <v>4439509.475352739</v>
      </c>
      <c r="D1024" s="3">
        <f t="shared" si="63"/>
        <v>6.3999476591125131</v>
      </c>
      <c r="E1024" s="8">
        <f t="shared" si="60"/>
        <v>145.42857142857142</v>
      </c>
      <c r="F1024" s="3"/>
      <c r="G1024" s="3"/>
      <c r="H1024" s="3"/>
    </row>
    <row r="1025" spans="1:8" ht="18.5" x14ac:dyDescent="0.45">
      <c r="A1025" s="3">
        <v>1019</v>
      </c>
      <c r="B1025" s="9">
        <f t="shared" si="61"/>
        <v>0.99953076615273873</v>
      </c>
      <c r="C1025" s="3">
        <f t="shared" si="62"/>
        <v>4439515.850944004</v>
      </c>
      <c r="D1025" s="3">
        <f t="shared" si="63"/>
        <v>6.3755912650376558</v>
      </c>
      <c r="E1025" s="8">
        <f t="shared" si="60"/>
        <v>145.57142857142858</v>
      </c>
      <c r="F1025" s="3"/>
      <c r="G1025" s="3"/>
      <c r="H1025" s="3"/>
    </row>
    <row r="1026" spans="1:8" ht="18.5" x14ac:dyDescent="0.45">
      <c r="A1026" s="3">
        <v>1020</v>
      </c>
      <c r="B1026" s="9">
        <f t="shared" si="61"/>
        <v>0.9995321961209227</v>
      </c>
      <c r="C1026" s="3">
        <f t="shared" si="62"/>
        <v>4439522.2022906905</v>
      </c>
      <c r="D1026" s="3">
        <f t="shared" si="63"/>
        <v>6.3513466864824295</v>
      </c>
      <c r="E1026" s="8">
        <f t="shared" si="60"/>
        <v>145.71428571428572</v>
      </c>
      <c r="F1026" s="3"/>
      <c r="G1026" s="3"/>
      <c r="H1026" s="3"/>
    </row>
    <row r="1027" spans="1:8" ht="18.5" x14ac:dyDescent="0.45">
      <c r="A1027" s="3">
        <v>1021</v>
      </c>
      <c r="B1027" s="9">
        <f t="shared" si="61"/>
        <v>0.99953362065562124</v>
      </c>
      <c r="C1027" s="3">
        <f t="shared" si="62"/>
        <v>4439528.5295040077</v>
      </c>
      <c r="D1027" s="3">
        <f t="shared" si="63"/>
        <v>6.327213317155838</v>
      </c>
      <c r="E1027" s="8">
        <f t="shared" si="60"/>
        <v>145.85714285714286</v>
      </c>
      <c r="F1027" s="3"/>
      <c r="G1027" s="3"/>
      <c r="H1027" s="3"/>
    </row>
    <row r="1028" spans="1:8" ht="18.5" x14ac:dyDescent="0.45">
      <c r="A1028" s="3">
        <v>1022</v>
      </c>
      <c r="B1028" s="9">
        <f t="shared" si="61"/>
        <v>0.99953503978173763</v>
      </c>
      <c r="C1028" s="3">
        <f t="shared" si="62"/>
        <v>4439534.8326945659</v>
      </c>
      <c r="D1028" s="3">
        <f t="shared" si="63"/>
        <v>6.3031905582174659</v>
      </c>
      <c r="E1028" s="8">
        <f t="shared" si="60"/>
        <v>146</v>
      </c>
      <c r="F1028" s="3"/>
      <c r="G1028" s="3"/>
      <c r="H1028" s="3"/>
    </row>
    <row r="1029" spans="1:8" ht="18.5" x14ac:dyDescent="0.45">
      <c r="A1029" s="3">
        <v>1023</v>
      </c>
      <c r="B1029" s="9">
        <f t="shared" si="61"/>
        <v>0.99953645352404097</v>
      </c>
      <c r="C1029" s="3">
        <f t="shared" si="62"/>
        <v>4439541.1119723804</v>
      </c>
      <c r="D1029" s="3">
        <f t="shared" si="63"/>
        <v>6.2792778145521879</v>
      </c>
      <c r="E1029" s="8">
        <f t="shared" si="60"/>
        <v>146.14285714285714</v>
      </c>
      <c r="F1029" s="3"/>
      <c r="G1029" s="3"/>
      <c r="H1029" s="3"/>
    </row>
    <row r="1030" spans="1:8" ht="18.5" x14ac:dyDescent="0.45">
      <c r="A1030" s="3">
        <v>1024</v>
      </c>
      <c r="B1030" s="9">
        <f t="shared" si="61"/>
        <v>0.99953786190716709</v>
      </c>
      <c r="C1030" s="3">
        <f t="shared" si="62"/>
        <v>4439547.3674468733</v>
      </c>
      <c r="D1030" s="3">
        <f t="shared" si="63"/>
        <v>6.2554744929075241</v>
      </c>
      <c r="E1030" s="8">
        <f t="shared" si="60"/>
        <v>146.28571428571428</v>
      </c>
      <c r="F1030" s="3"/>
      <c r="G1030" s="3"/>
      <c r="H1030" s="3"/>
    </row>
    <row r="1031" spans="1:8" ht="18.5" x14ac:dyDescent="0.45">
      <c r="A1031" s="3">
        <v>1025</v>
      </c>
      <c r="B1031" s="9">
        <f t="shared" si="61"/>
        <v>0.99953926495561896</v>
      </c>
      <c r="C1031" s="3">
        <f t="shared" si="62"/>
        <v>4439553.5992268771</v>
      </c>
      <c r="D1031" s="3">
        <f t="shared" si="63"/>
        <v>6.2317800037562847</v>
      </c>
      <c r="E1031" s="8">
        <f t="shared" ref="E1031:E1094" si="64">A1031/7</f>
        <v>146.42857142857142</v>
      </c>
      <c r="F1031" s="3"/>
      <c r="G1031" s="3"/>
      <c r="H1031" s="3"/>
    </row>
    <row r="1032" spans="1:8" ht="18.5" x14ac:dyDescent="0.45">
      <c r="A1032" s="3">
        <v>1026</v>
      </c>
      <c r="B1032" s="9">
        <f t="shared" ref="B1032:B1095" si="65">LOGNORMDIST(A1032,$A$3,$B$3)</f>
        <v>0.99954066269376807</v>
      </c>
      <c r="C1032" s="3">
        <f t="shared" ref="C1032:C1095" si="66">$E$3*B1032</f>
        <v>4439559.8074206403</v>
      </c>
      <c r="D1032" s="3">
        <f t="shared" ref="D1032:D1095" si="67">C1032-C1031</f>
        <v>6.2081937631592155</v>
      </c>
      <c r="E1032" s="8">
        <f t="shared" si="64"/>
        <v>146.57142857142858</v>
      </c>
      <c r="F1032" s="3"/>
      <c r="G1032" s="3"/>
      <c r="H1032" s="3"/>
    </row>
    <row r="1033" spans="1:8" ht="18.5" x14ac:dyDescent="0.45">
      <c r="A1033" s="3">
        <v>1027</v>
      </c>
      <c r="B1033" s="9">
        <f t="shared" si="65"/>
        <v>0.99954205514585481</v>
      </c>
      <c r="C1033" s="3">
        <f t="shared" si="66"/>
        <v>4439565.9921358284</v>
      </c>
      <c r="D1033" s="3">
        <f t="shared" si="67"/>
        <v>6.1847151881083846</v>
      </c>
      <c r="E1033" s="8">
        <f t="shared" si="64"/>
        <v>146.71428571428572</v>
      </c>
      <c r="F1033" s="3"/>
      <c r="G1033" s="3"/>
      <c r="H1033" s="3"/>
    </row>
    <row r="1034" spans="1:8" ht="18.5" x14ac:dyDescent="0.45">
      <c r="A1034" s="3">
        <v>1028</v>
      </c>
      <c r="B1034" s="9">
        <f t="shared" si="65"/>
        <v>0.99954344233598957</v>
      </c>
      <c r="C1034" s="3">
        <f t="shared" si="66"/>
        <v>4439572.1534795314</v>
      </c>
      <c r="D1034" s="3">
        <f t="shared" si="67"/>
        <v>6.1613437030464411</v>
      </c>
      <c r="E1034" s="8">
        <f t="shared" si="64"/>
        <v>146.85714285714286</v>
      </c>
      <c r="F1034" s="3"/>
      <c r="G1034" s="3"/>
      <c r="H1034" s="3"/>
    </row>
    <row r="1035" spans="1:8" ht="18.5" x14ac:dyDescent="0.45">
      <c r="A1035" s="3">
        <v>1029</v>
      </c>
      <c r="B1035" s="9">
        <f t="shared" si="65"/>
        <v>0.99954482428815328</v>
      </c>
      <c r="C1035" s="3">
        <f t="shared" si="66"/>
        <v>4439578.291558262</v>
      </c>
      <c r="D1035" s="3">
        <f t="shared" si="67"/>
        <v>6.1380787305533886</v>
      </c>
      <c r="E1035" s="8">
        <f t="shared" si="64"/>
        <v>147</v>
      </c>
      <c r="F1035" s="3"/>
      <c r="G1035" s="3"/>
      <c r="H1035" s="3"/>
    </row>
    <row r="1036" spans="1:8" ht="18.5" x14ac:dyDescent="0.45">
      <c r="A1036" s="3">
        <v>1030</v>
      </c>
      <c r="B1036" s="9">
        <f t="shared" si="65"/>
        <v>0.99954620102619851</v>
      </c>
      <c r="C1036" s="3">
        <f t="shared" si="66"/>
        <v>4439584.4064779636</v>
      </c>
      <c r="D1036" s="3">
        <f t="shared" si="67"/>
        <v>6.1149197015911341</v>
      </c>
      <c r="E1036" s="8">
        <f t="shared" si="64"/>
        <v>147.14285714285714</v>
      </c>
      <c r="F1036" s="3"/>
      <c r="G1036" s="3"/>
      <c r="H1036" s="3"/>
    </row>
    <row r="1037" spans="1:8" ht="18.5" x14ac:dyDescent="0.45">
      <c r="A1037" s="3">
        <v>1031</v>
      </c>
      <c r="B1037" s="9">
        <f t="shared" si="65"/>
        <v>0.99954757257384996</v>
      </c>
      <c r="C1037" s="3">
        <f t="shared" si="66"/>
        <v>4439590.4983440116</v>
      </c>
      <c r="D1037" s="3">
        <f t="shared" si="67"/>
        <v>6.091866048052907</v>
      </c>
      <c r="E1037" s="8">
        <f t="shared" si="64"/>
        <v>147.28571428571428</v>
      </c>
      <c r="F1037" s="3"/>
      <c r="G1037" s="3"/>
      <c r="H1037" s="3"/>
    </row>
    <row r="1038" spans="1:8" ht="18.5" x14ac:dyDescent="0.45">
      <c r="A1038" s="3">
        <v>1032</v>
      </c>
      <c r="B1038" s="9">
        <f t="shared" si="65"/>
        <v>0.99954893895470542</v>
      </c>
      <c r="C1038" s="3">
        <f t="shared" si="66"/>
        <v>4439596.56726122</v>
      </c>
      <c r="D1038" s="3">
        <f t="shared" si="67"/>
        <v>6.0689172083511949</v>
      </c>
      <c r="E1038" s="8">
        <f t="shared" si="64"/>
        <v>147.42857142857142</v>
      </c>
      <c r="F1038" s="3"/>
      <c r="G1038" s="3"/>
      <c r="H1038" s="3"/>
    </row>
    <row r="1039" spans="1:8" ht="18.5" x14ac:dyDescent="0.45">
      <c r="A1039" s="3">
        <v>1033</v>
      </c>
      <c r="B1039" s="9">
        <f t="shared" si="65"/>
        <v>0.99955030019223667</v>
      </c>
      <c r="C1039" s="3">
        <f t="shared" si="66"/>
        <v>4439602.6133338381</v>
      </c>
      <c r="D1039" s="3">
        <f t="shared" si="67"/>
        <v>6.0460726181045175</v>
      </c>
      <c r="E1039" s="8">
        <f t="shared" si="64"/>
        <v>147.57142857142858</v>
      </c>
      <c r="F1039" s="3"/>
      <c r="G1039" s="3"/>
      <c r="H1039" s="3"/>
    </row>
    <row r="1040" spans="1:8" ht="18.5" x14ac:dyDescent="0.45">
      <c r="A1040" s="3">
        <v>1034</v>
      </c>
      <c r="B1040" s="9">
        <f t="shared" si="65"/>
        <v>0.99955165630979004</v>
      </c>
      <c r="C1040" s="3">
        <f t="shared" si="66"/>
        <v>4439608.6366655631</v>
      </c>
      <c r="D1040" s="3">
        <f t="shared" si="67"/>
        <v>6.023331725038588</v>
      </c>
      <c r="E1040" s="8">
        <f t="shared" si="64"/>
        <v>147.71428571428572</v>
      </c>
      <c r="F1040" s="3"/>
      <c r="G1040" s="3"/>
      <c r="H1040" s="3"/>
    </row>
    <row r="1041" spans="1:8" ht="18.5" x14ac:dyDescent="0.45">
      <c r="A1041" s="3">
        <v>1035</v>
      </c>
      <c r="B1041" s="9">
        <f t="shared" si="65"/>
        <v>0.99955300733058705</v>
      </c>
      <c r="C1041" s="3">
        <f t="shared" si="66"/>
        <v>4439614.6373595353</v>
      </c>
      <c r="D1041" s="3">
        <f t="shared" si="67"/>
        <v>6.000693972222507</v>
      </c>
      <c r="E1041" s="8">
        <f t="shared" si="64"/>
        <v>147.85714285714286</v>
      </c>
      <c r="F1041" s="3"/>
      <c r="G1041" s="3"/>
      <c r="H1041" s="3"/>
    </row>
    <row r="1042" spans="1:8" ht="18.5" x14ac:dyDescent="0.45">
      <c r="A1042" s="3">
        <v>1036</v>
      </c>
      <c r="B1042" s="9">
        <f t="shared" si="65"/>
        <v>0.99955435327772568</v>
      </c>
      <c r="C1042" s="3">
        <f t="shared" si="66"/>
        <v>4439620.6155183464</v>
      </c>
      <c r="D1042" s="3">
        <f t="shared" si="67"/>
        <v>5.9781588111072779</v>
      </c>
      <c r="E1042" s="8">
        <f t="shared" si="64"/>
        <v>148</v>
      </c>
      <c r="F1042" s="3"/>
      <c r="G1042" s="3"/>
      <c r="H1042" s="3"/>
    </row>
    <row r="1043" spans="1:8" ht="18.5" x14ac:dyDescent="0.45">
      <c r="A1043" s="3">
        <v>1037</v>
      </c>
      <c r="B1043" s="9">
        <f t="shared" si="65"/>
        <v>0.99955569417418078</v>
      </c>
      <c r="C1043" s="3">
        <f t="shared" si="66"/>
        <v>4439626.5712440414</v>
      </c>
      <c r="D1043" s="3">
        <f t="shared" si="67"/>
        <v>5.9557256950065494</v>
      </c>
      <c r="E1043" s="8">
        <f t="shared" si="64"/>
        <v>148.14285714285714</v>
      </c>
      <c r="F1043" s="3"/>
      <c r="G1043" s="3"/>
      <c r="H1043" s="3"/>
    </row>
    <row r="1044" spans="1:8" ht="18.5" x14ac:dyDescent="0.45">
      <c r="A1044" s="3">
        <v>1038</v>
      </c>
      <c r="B1044" s="9">
        <f t="shared" si="65"/>
        <v>0.99955703004280461</v>
      </c>
      <c r="C1044" s="3">
        <f t="shared" si="66"/>
        <v>4439632.5046381205</v>
      </c>
      <c r="D1044" s="3">
        <f t="shared" si="67"/>
        <v>5.9333940790966153</v>
      </c>
      <c r="E1044" s="8">
        <f t="shared" si="64"/>
        <v>148.28571428571428</v>
      </c>
      <c r="F1044" s="3"/>
      <c r="G1044" s="3"/>
      <c r="H1044" s="3"/>
    </row>
    <row r="1045" spans="1:8" ht="18.5" x14ac:dyDescent="0.45">
      <c r="A1045" s="3">
        <v>1039</v>
      </c>
      <c r="B1045" s="9">
        <f t="shared" si="65"/>
        <v>0.99955836090632832</v>
      </c>
      <c r="C1045" s="3">
        <f t="shared" si="66"/>
        <v>4439638.4158015475</v>
      </c>
      <c r="D1045" s="3">
        <f t="shared" si="67"/>
        <v>5.9111634269356728</v>
      </c>
      <c r="E1045" s="8">
        <f t="shared" si="64"/>
        <v>148.42857142857142</v>
      </c>
      <c r="F1045" s="3"/>
      <c r="G1045" s="3"/>
      <c r="H1045" s="3"/>
    </row>
    <row r="1046" spans="1:8" ht="18.5" x14ac:dyDescent="0.45">
      <c r="A1046" s="3">
        <v>1040</v>
      </c>
      <c r="B1046" s="9">
        <f t="shared" si="65"/>
        <v>0.99955968678736185</v>
      </c>
      <c r="C1046" s="3">
        <f t="shared" si="66"/>
        <v>4439644.3048347468</v>
      </c>
      <c r="D1046" s="3">
        <f t="shared" si="67"/>
        <v>5.889033199287951</v>
      </c>
      <c r="E1046" s="8">
        <f t="shared" si="64"/>
        <v>148.57142857142858</v>
      </c>
      <c r="F1046" s="3"/>
      <c r="G1046" s="3"/>
      <c r="H1046" s="3"/>
    </row>
    <row r="1047" spans="1:8" ht="18.5" x14ac:dyDescent="0.45">
      <c r="A1047" s="3">
        <v>1041</v>
      </c>
      <c r="B1047" s="9">
        <f t="shared" si="65"/>
        <v>0.99956100770839518</v>
      </c>
      <c r="C1047" s="3">
        <f t="shared" si="66"/>
        <v>4439650.1718376083</v>
      </c>
      <c r="D1047" s="3">
        <f t="shared" si="67"/>
        <v>5.8670028615742922</v>
      </c>
      <c r="E1047" s="8">
        <f t="shared" si="64"/>
        <v>148.71428571428572</v>
      </c>
      <c r="F1047" s="3"/>
      <c r="G1047" s="3"/>
      <c r="H1047" s="3"/>
    </row>
    <row r="1048" spans="1:8" ht="18.5" x14ac:dyDescent="0.45">
      <c r="A1048" s="3">
        <v>1042</v>
      </c>
      <c r="B1048" s="9">
        <f t="shared" si="65"/>
        <v>0.99956232369179898</v>
      </c>
      <c r="C1048" s="3">
        <f t="shared" si="66"/>
        <v>4439656.0169094941</v>
      </c>
      <c r="D1048" s="3">
        <f t="shared" si="67"/>
        <v>5.8450718857347965</v>
      </c>
      <c r="E1048" s="8">
        <f t="shared" si="64"/>
        <v>148.85714285714286</v>
      </c>
      <c r="F1048" s="3"/>
      <c r="G1048" s="3"/>
      <c r="H1048" s="3"/>
    </row>
    <row r="1049" spans="1:8" ht="18.5" x14ac:dyDescent="0.45">
      <c r="A1049" s="3">
        <v>1043</v>
      </c>
      <c r="B1049" s="9">
        <f t="shared" si="65"/>
        <v>0.99956363475982524</v>
      </c>
      <c r="C1049" s="3">
        <f t="shared" si="66"/>
        <v>4439661.8401492396</v>
      </c>
      <c r="D1049" s="3">
        <f t="shared" si="67"/>
        <v>5.8232397455722094</v>
      </c>
      <c r="E1049" s="8">
        <f t="shared" si="64"/>
        <v>149</v>
      </c>
      <c r="F1049" s="3"/>
      <c r="G1049" s="3"/>
      <c r="H1049" s="3"/>
    </row>
    <row r="1050" spans="1:8" ht="18.5" x14ac:dyDescent="0.45">
      <c r="A1050" s="3">
        <v>1044</v>
      </c>
      <c r="B1050" s="9">
        <f t="shared" si="65"/>
        <v>0.99956494093460824</v>
      </c>
      <c r="C1050" s="3">
        <f t="shared" si="66"/>
        <v>4439667.6416551564</v>
      </c>
      <c r="D1050" s="3">
        <f t="shared" si="67"/>
        <v>5.8015059167519212</v>
      </c>
      <c r="E1050" s="8">
        <f t="shared" si="64"/>
        <v>149.14285714285714</v>
      </c>
      <c r="F1050" s="3"/>
      <c r="G1050" s="3"/>
      <c r="H1050" s="3"/>
    </row>
    <row r="1051" spans="1:8" ht="18.5" x14ac:dyDescent="0.45">
      <c r="A1051" s="3">
        <v>1045</v>
      </c>
      <c r="B1051" s="9">
        <f t="shared" si="65"/>
        <v>0.99956624223816481</v>
      </c>
      <c r="C1051" s="3">
        <f t="shared" si="66"/>
        <v>4439673.4215250332</v>
      </c>
      <c r="D1051" s="3">
        <f t="shared" si="67"/>
        <v>5.7798698768019676</v>
      </c>
      <c r="E1051" s="8">
        <f t="shared" si="64"/>
        <v>149.28571428571428</v>
      </c>
      <c r="F1051" s="3"/>
      <c r="G1051" s="3"/>
      <c r="H1051" s="3"/>
    </row>
    <row r="1052" spans="1:8" ht="18.5" x14ac:dyDescent="0.45">
      <c r="A1052" s="3">
        <v>1046</v>
      </c>
      <c r="B1052" s="9">
        <f t="shared" si="65"/>
        <v>0.99956753869239556</v>
      </c>
      <c r="C1052" s="3">
        <f t="shared" si="66"/>
        <v>4439679.1798561439</v>
      </c>
      <c r="D1052" s="3">
        <f t="shared" si="67"/>
        <v>5.7583311107009649</v>
      </c>
      <c r="E1052" s="8">
        <f t="shared" si="64"/>
        <v>149.42857142857142</v>
      </c>
      <c r="F1052" s="3"/>
      <c r="G1052" s="3"/>
      <c r="H1052" s="3"/>
    </row>
    <row r="1053" spans="1:8" ht="18.5" x14ac:dyDescent="0.45">
      <c r="A1053" s="3">
        <v>1047</v>
      </c>
      <c r="B1053" s="9">
        <f t="shared" si="65"/>
        <v>0.99956883031908506</v>
      </c>
      <c r="C1053" s="3">
        <f t="shared" si="66"/>
        <v>4439684.9167452483</v>
      </c>
      <c r="D1053" s="3">
        <f t="shared" si="67"/>
        <v>5.7368891043588519</v>
      </c>
      <c r="E1053" s="8">
        <f t="shared" si="64"/>
        <v>149.57142857142858</v>
      </c>
      <c r="F1053" s="3"/>
      <c r="G1053" s="3"/>
      <c r="H1053" s="3"/>
    </row>
    <row r="1054" spans="1:8" ht="18.5" x14ac:dyDescent="0.45">
      <c r="A1054" s="3">
        <v>1048</v>
      </c>
      <c r="B1054" s="9">
        <f t="shared" si="65"/>
        <v>0.99957011713990318</v>
      </c>
      <c r="C1054" s="3">
        <f t="shared" si="66"/>
        <v>4439690.6322885938</v>
      </c>
      <c r="D1054" s="3">
        <f t="shared" si="67"/>
        <v>5.7155433455482125</v>
      </c>
      <c r="E1054" s="8">
        <f t="shared" si="64"/>
        <v>149.71428571428572</v>
      </c>
      <c r="F1054" s="3"/>
      <c r="G1054" s="3"/>
      <c r="H1054" s="3"/>
    </row>
    <row r="1055" spans="1:8" ht="18.5" x14ac:dyDescent="0.45">
      <c r="A1055" s="3">
        <v>1049</v>
      </c>
      <c r="B1055" s="9">
        <f t="shared" si="65"/>
        <v>0.99957139917640536</v>
      </c>
      <c r="C1055" s="3">
        <f t="shared" si="66"/>
        <v>4439696.3265819224</v>
      </c>
      <c r="D1055" s="3">
        <f t="shared" si="67"/>
        <v>5.6942933285608888</v>
      </c>
      <c r="E1055" s="8">
        <f t="shared" si="64"/>
        <v>149.85714285714286</v>
      </c>
      <c r="F1055" s="3"/>
      <c r="G1055" s="3"/>
      <c r="H1055" s="3"/>
    </row>
    <row r="1056" spans="1:8" ht="18.5" x14ac:dyDescent="0.45">
      <c r="A1056" s="3">
        <v>1050</v>
      </c>
      <c r="B1056" s="9">
        <f t="shared" si="65"/>
        <v>0.99957267645003312</v>
      </c>
      <c r="C1056" s="3">
        <f t="shared" si="66"/>
        <v>4439701.9997204673</v>
      </c>
      <c r="D1056" s="3">
        <f t="shared" si="67"/>
        <v>5.6731385448947549</v>
      </c>
      <c r="E1056" s="8">
        <f t="shared" si="64"/>
        <v>150</v>
      </c>
      <c r="F1056" s="3"/>
      <c r="G1056" s="3"/>
      <c r="H1056" s="3"/>
    </row>
    <row r="1057" spans="1:8" ht="18.5" x14ac:dyDescent="0.45">
      <c r="A1057" s="3">
        <v>1051</v>
      </c>
      <c r="B1057" s="9">
        <f t="shared" si="65"/>
        <v>0.99957394898211538</v>
      </c>
      <c r="C1057" s="3">
        <f t="shared" si="66"/>
        <v>4439707.6517989635</v>
      </c>
      <c r="D1057" s="3">
        <f t="shared" si="67"/>
        <v>5.6520784962922335</v>
      </c>
      <c r="E1057" s="8">
        <f t="shared" si="64"/>
        <v>150.14285714285714</v>
      </c>
      <c r="F1057" s="3"/>
      <c r="G1057" s="3"/>
      <c r="H1057" s="3"/>
    </row>
    <row r="1058" spans="1:8" ht="18.5" x14ac:dyDescent="0.45">
      <c r="A1058" s="3">
        <v>1052</v>
      </c>
      <c r="B1058" s="9">
        <f t="shared" si="65"/>
        <v>0.99957521679386863</v>
      </c>
      <c r="C1058" s="3">
        <f t="shared" si="66"/>
        <v>4439713.2829116471</v>
      </c>
      <c r="D1058" s="3">
        <f t="shared" si="67"/>
        <v>5.6311126835644245</v>
      </c>
      <c r="E1058" s="8">
        <f t="shared" si="64"/>
        <v>150.28571428571428</v>
      </c>
      <c r="F1058" s="3"/>
      <c r="G1058" s="3"/>
      <c r="H1058" s="3"/>
    </row>
    <row r="1059" spans="1:8" ht="18.5" x14ac:dyDescent="0.45">
      <c r="A1059" s="3">
        <v>1053</v>
      </c>
      <c r="B1059" s="9">
        <f t="shared" si="65"/>
        <v>0.99957647990639775</v>
      </c>
      <c r="C1059" s="3">
        <f t="shared" si="66"/>
        <v>4439718.8931522565</v>
      </c>
      <c r="D1059" s="3">
        <f t="shared" si="67"/>
        <v>5.6102406093850732</v>
      </c>
      <c r="E1059" s="8">
        <f t="shared" si="64"/>
        <v>150.42857142857142</v>
      </c>
      <c r="F1059" s="3"/>
      <c r="G1059" s="3"/>
      <c r="H1059" s="3"/>
    </row>
    <row r="1060" spans="1:8" ht="18.5" x14ac:dyDescent="0.45">
      <c r="A1060" s="3">
        <v>1054</v>
      </c>
      <c r="B1060" s="9">
        <f t="shared" si="65"/>
        <v>0.99957773834069685</v>
      </c>
      <c r="C1060" s="3">
        <f t="shared" si="66"/>
        <v>4439724.4826140394</v>
      </c>
      <c r="D1060" s="3">
        <f t="shared" si="67"/>
        <v>5.5894617829471827</v>
      </c>
      <c r="E1060" s="8">
        <f t="shared" si="64"/>
        <v>150.57142857142858</v>
      </c>
      <c r="F1060" s="3"/>
      <c r="G1060" s="3"/>
      <c r="H1060" s="3"/>
    </row>
    <row r="1061" spans="1:8" ht="18.5" x14ac:dyDescent="0.45">
      <c r="A1061" s="3">
        <v>1055</v>
      </c>
      <c r="B1061" s="9">
        <f t="shared" si="65"/>
        <v>0.99957899211764945</v>
      </c>
      <c r="C1061" s="3">
        <f t="shared" si="66"/>
        <v>4439730.051389752</v>
      </c>
      <c r="D1061" s="3">
        <f t="shared" si="67"/>
        <v>5.5687757125124335</v>
      </c>
      <c r="E1061" s="8">
        <f t="shared" si="64"/>
        <v>150.71428571428572</v>
      </c>
      <c r="F1061" s="3"/>
      <c r="G1061" s="3"/>
      <c r="H1061" s="3"/>
    </row>
    <row r="1062" spans="1:8" ht="18.5" x14ac:dyDescent="0.45">
      <c r="A1062" s="3">
        <v>1056</v>
      </c>
      <c r="B1062" s="9">
        <f t="shared" si="65"/>
        <v>0.99958024125802991</v>
      </c>
      <c r="C1062" s="3">
        <f t="shared" si="66"/>
        <v>4439735.5995716657</v>
      </c>
      <c r="D1062" s="3">
        <f t="shared" si="67"/>
        <v>5.548181913793087</v>
      </c>
      <c r="E1062" s="8">
        <f t="shared" si="64"/>
        <v>150.85714285714286</v>
      </c>
      <c r="F1062" s="3"/>
      <c r="G1062" s="3"/>
      <c r="H1062" s="3"/>
    </row>
    <row r="1063" spans="1:8" ht="18.5" x14ac:dyDescent="0.45">
      <c r="A1063" s="3">
        <v>1057</v>
      </c>
      <c r="B1063" s="9">
        <f t="shared" si="65"/>
        <v>0.9995814857825035</v>
      </c>
      <c r="C1063" s="3">
        <f t="shared" si="66"/>
        <v>4439741.1272515673</v>
      </c>
      <c r="D1063" s="3">
        <f t="shared" si="67"/>
        <v>5.5276799015700817</v>
      </c>
      <c r="E1063" s="8">
        <f t="shared" si="64"/>
        <v>151</v>
      </c>
      <c r="F1063" s="3"/>
      <c r="G1063" s="3"/>
      <c r="H1063" s="3"/>
    </row>
    <row r="1064" spans="1:8" ht="18.5" x14ac:dyDescent="0.45">
      <c r="A1064" s="3">
        <v>1058</v>
      </c>
      <c r="B1064" s="9">
        <f t="shared" si="65"/>
        <v>0.99958272571162721</v>
      </c>
      <c r="C1064" s="3">
        <f t="shared" si="66"/>
        <v>4439746.6345207635</v>
      </c>
      <c r="D1064" s="3">
        <f t="shared" si="67"/>
        <v>5.5072691962122917</v>
      </c>
      <c r="E1064" s="8">
        <f t="shared" si="64"/>
        <v>151.14285714285714</v>
      </c>
      <c r="F1064" s="3"/>
      <c r="G1064" s="3"/>
      <c r="H1064" s="3"/>
    </row>
    <row r="1065" spans="1:8" ht="18.5" x14ac:dyDescent="0.45">
      <c r="A1065" s="3">
        <v>1059</v>
      </c>
      <c r="B1065" s="9">
        <f t="shared" si="65"/>
        <v>0.99958396106585046</v>
      </c>
      <c r="C1065" s="3">
        <f t="shared" si="66"/>
        <v>4439752.1214700816</v>
      </c>
      <c r="D1065" s="3">
        <f t="shared" si="67"/>
        <v>5.4869493180885911</v>
      </c>
      <c r="E1065" s="8">
        <f t="shared" si="64"/>
        <v>151.28571428571428</v>
      </c>
      <c r="F1065" s="3"/>
      <c r="G1065" s="3"/>
      <c r="H1065" s="3"/>
    </row>
    <row r="1066" spans="1:8" ht="18.5" x14ac:dyDescent="0.45">
      <c r="A1066" s="3">
        <v>1060</v>
      </c>
      <c r="B1066" s="9">
        <f t="shared" si="65"/>
        <v>0.99958519186551564</v>
      </c>
      <c r="C1066" s="3">
        <f t="shared" si="66"/>
        <v>4439757.5881898738</v>
      </c>
      <c r="D1066" s="3">
        <f t="shared" si="67"/>
        <v>5.4667197922244668</v>
      </c>
      <c r="E1066" s="8">
        <f t="shared" si="64"/>
        <v>151.42857142857142</v>
      </c>
      <c r="F1066" s="3"/>
      <c r="G1066" s="3"/>
      <c r="H1066" s="3"/>
    </row>
    <row r="1067" spans="1:8" ht="18.5" x14ac:dyDescent="0.45">
      <c r="A1067" s="3">
        <v>1061</v>
      </c>
      <c r="B1067" s="9">
        <f t="shared" si="65"/>
        <v>0.99958641813085913</v>
      </c>
      <c r="C1067" s="3">
        <f t="shared" si="66"/>
        <v>4439763.034770024</v>
      </c>
      <c r="D1067" s="3">
        <f t="shared" si="67"/>
        <v>5.4465801501646638</v>
      </c>
      <c r="E1067" s="8">
        <f t="shared" si="64"/>
        <v>151.57142857142858</v>
      </c>
      <c r="F1067" s="3"/>
      <c r="G1067" s="3"/>
      <c r="H1067" s="3"/>
    </row>
    <row r="1068" spans="1:8" ht="18.5" x14ac:dyDescent="0.45">
      <c r="A1068" s="3">
        <v>1062</v>
      </c>
      <c r="B1068" s="9">
        <f t="shared" si="65"/>
        <v>0.99958763988201116</v>
      </c>
      <c r="C1068" s="3">
        <f t="shared" si="66"/>
        <v>4439768.4612999409</v>
      </c>
      <c r="D1068" s="3">
        <f t="shared" si="67"/>
        <v>5.426529916934669</v>
      </c>
      <c r="E1068" s="8">
        <f t="shared" si="64"/>
        <v>151.71428571428572</v>
      </c>
      <c r="F1068" s="3"/>
      <c r="G1068" s="3"/>
      <c r="H1068" s="3"/>
    </row>
    <row r="1069" spans="1:8" ht="18.5" x14ac:dyDescent="0.45">
      <c r="A1069" s="3">
        <v>1063</v>
      </c>
      <c r="B1069" s="9">
        <f t="shared" si="65"/>
        <v>0.99958885713899748</v>
      </c>
      <c r="C1069" s="3">
        <f t="shared" si="66"/>
        <v>4439773.8678685715</v>
      </c>
      <c r="D1069" s="3">
        <f t="shared" si="67"/>
        <v>5.4065686305984855</v>
      </c>
      <c r="E1069" s="8">
        <f t="shared" si="64"/>
        <v>151.85714285714286</v>
      </c>
      <c r="F1069" s="3"/>
      <c r="G1069" s="3"/>
      <c r="H1069" s="3"/>
    </row>
    <row r="1070" spans="1:8" ht="18.5" x14ac:dyDescent="0.45">
      <c r="A1070" s="3">
        <v>1064</v>
      </c>
      <c r="B1070" s="9">
        <f t="shared" si="65"/>
        <v>0.99959006992173893</v>
      </c>
      <c r="C1070" s="3">
        <f t="shared" si="66"/>
        <v>4439779.2545643961</v>
      </c>
      <c r="D1070" s="3">
        <f t="shared" si="67"/>
        <v>5.3866958245635033</v>
      </c>
      <c r="E1070" s="8">
        <f t="shared" si="64"/>
        <v>152</v>
      </c>
      <c r="F1070" s="3"/>
      <c r="G1070" s="3"/>
      <c r="H1070" s="3"/>
    </row>
    <row r="1071" spans="1:8" ht="18.5" x14ac:dyDescent="0.45">
      <c r="A1071" s="3">
        <v>1065</v>
      </c>
      <c r="B1071" s="9">
        <f t="shared" si="65"/>
        <v>0.99959127825005289</v>
      </c>
      <c r="C1071" s="3">
        <f t="shared" si="66"/>
        <v>4439784.6214754349</v>
      </c>
      <c r="D1071" s="3">
        <f t="shared" si="67"/>
        <v>5.3669110387563705</v>
      </c>
      <c r="E1071" s="8">
        <f t="shared" si="64"/>
        <v>152.14285714285714</v>
      </c>
      <c r="F1071" s="3"/>
      <c r="G1071" s="3"/>
      <c r="H1071" s="3"/>
    </row>
    <row r="1072" spans="1:8" ht="18.5" x14ac:dyDescent="0.45">
      <c r="A1072" s="3">
        <v>1066</v>
      </c>
      <c r="B1072" s="9">
        <f t="shared" si="65"/>
        <v>0.99959248214365348</v>
      </c>
      <c r="C1072" s="3">
        <f t="shared" si="66"/>
        <v>4439789.9686892517</v>
      </c>
      <c r="D1072" s="3">
        <f t="shared" si="67"/>
        <v>5.3472138168290257</v>
      </c>
      <c r="E1072" s="8">
        <f t="shared" si="64"/>
        <v>152.28571428571428</v>
      </c>
      <c r="F1072" s="3"/>
      <c r="G1072" s="3"/>
      <c r="H1072" s="3"/>
    </row>
    <row r="1073" spans="1:8" ht="18.5" x14ac:dyDescent="0.45">
      <c r="A1073" s="3">
        <v>1067</v>
      </c>
      <c r="B1073" s="9">
        <f t="shared" si="65"/>
        <v>0.99959368162215234</v>
      </c>
      <c r="C1073" s="3">
        <f t="shared" si="66"/>
        <v>4439795.2962929523</v>
      </c>
      <c r="D1073" s="3">
        <f t="shared" si="67"/>
        <v>5.3276037005707622</v>
      </c>
      <c r="E1073" s="8">
        <f t="shared" si="64"/>
        <v>152.42857142857142</v>
      </c>
      <c r="F1073" s="3"/>
      <c r="G1073" s="3"/>
      <c r="H1073" s="3"/>
    </row>
    <row r="1074" spans="1:8" ht="18.5" x14ac:dyDescent="0.45">
      <c r="A1074" s="3">
        <v>1068</v>
      </c>
      <c r="B1074" s="9">
        <f t="shared" si="65"/>
        <v>0.9995948767050592</v>
      </c>
      <c r="C1074" s="3">
        <f t="shared" si="66"/>
        <v>4439800.6043731906</v>
      </c>
      <c r="D1074" s="3">
        <f t="shared" si="67"/>
        <v>5.3080802382901311</v>
      </c>
      <c r="E1074" s="8">
        <f t="shared" si="64"/>
        <v>152.57142857142858</v>
      </c>
      <c r="F1074" s="3"/>
      <c r="G1074" s="3"/>
      <c r="H1074" s="3"/>
    </row>
    <row r="1075" spans="1:8" ht="18.5" x14ac:dyDescent="0.45">
      <c r="A1075" s="3">
        <v>1069</v>
      </c>
      <c r="B1075" s="9">
        <f t="shared" si="65"/>
        <v>0.99959606741178253</v>
      </c>
      <c r="C1075" s="3">
        <f t="shared" si="66"/>
        <v>4439805.8930161735</v>
      </c>
      <c r="D1075" s="3">
        <f t="shared" si="67"/>
        <v>5.2886429829522967</v>
      </c>
      <c r="E1075" s="8">
        <f t="shared" si="64"/>
        <v>152.71428571428572</v>
      </c>
      <c r="F1075" s="3"/>
      <c r="G1075" s="3"/>
      <c r="H1075" s="3"/>
    </row>
    <row r="1076" spans="1:8" ht="18.5" x14ac:dyDescent="0.45">
      <c r="A1076" s="3">
        <v>1070</v>
      </c>
      <c r="B1076" s="9">
        <f t="shared" si="65"/>
        <v>0.99959725376162989</v>
      </c>
      <c r="C1076" s="3">
        <f t="shared" si="66"/>
        <v>4439811.1623076554</v>
      </c>
      <c r="D1076" s="3">
        <f t="shared" si="67"/>
        <v>5.2692914819344878</v>
      </c>
      <c r="E1076" s="8">
        <f t="shared" si="64"/>
        <v>152.85714285714286</v>
      </c>
      <c r="F1076" s="3"/>
      <c r="G1076" s="3"/>
      <c r="H1076" s="3"/>
    </row>
    <row r="1077" spans="1:8" ht="18.5" x14ac:dyDescent="0.45">
      <c r="A1077" s="3">
        <v>1071</v>
      </c>
      <c r="B1077" s="9">
        <f t="shared" si="65"/>
        <v>0.99959843577380891</v>
      </c>
      <c r="C1077" s="3">
        <f t="shared" si="66"/>
        <v>4439816.4123329492</v>
      </c>
      <c r="D1077" s="3">
        <f t="shared" si="67"/>
        <v>5.250025293789804</v>
      </c>
      <c r="E1077" s="8">
        <f t="shared" si="64"/>
        <v>153</v>
      </c>
      <c r="F1077" s="3"/>
      <c r="G1077" s="3"/>
      <c r="H1077" s="3"/>
    </row>
    <row r="1078" spans="1:8" ht="18.5" x14ac:dyDescent="0.45">
      <c r="A1078" s="3">
        <v>1072</v>
      </c>
      <c r="B1078" s="9">
        <f t="shared" si="65"/>
        <v>0.99959961346742776</v>
      </c>
      <c r="C1078" s="3">
        <f t="shared" si="66"/>
        <v>4439821.6431769272</v>
      </c>
      <c r="D1078" s="3">
        <f t="shared" si="67"/>
        <v>5.2308439780026674</v>
      </c>
      <c r="E1078" s="8">
        <f t="shared" si="64"/>
        <v>153.14285714285714</v>
      </c>
      <c r="F1078" s="3"/>
      <c r="G1078" s="3"/>
      <c r="H1078" s="3"/>
    </row>
    <row r="1079" spans="1:8" ht="18.5" x14ac:dyDescent="0.45">
      <c r="A1079" s="3">
        <v>1073</v>
      </c>
      <c r="B1079" s="9">
        <f t="shared" si="65"/>
        <v>0.99960078686149556</v>
      </c>
      <c r="C1079" s="3">
        <f t="shared" si="66"/>
        <v>4439826.8549240185</v>
      </c>
      <c r="D1079" s="3">
        <f t="shared" si="67"/>
        <v>5.2117470912635326</v>
      </c>
      <c r="E1079" s="8">
        <f t="shared" si="64"/>
        <v>153.28571428571428</v>
      </c>
      <c r="F1079" s="3"/>
      <c r="G1079" s="3"/>
      <c r="H1079" s="3"/>
    </row>
    <row r="1080" spans="1:8" ht="18.5" x14ac:dyDescent="0.45">
      <c r="A1080" s="3">
        <v>1074</v>
      </c>
      <c r="B1080" s="9">
        <f t="shared" si="65"/>
        <v>0.99960195597492318</v>
      </c>
      <c r="C1080" s="3">
        <f t="shared" si="66"/>
        <v>4439832.047658219</v>
      </c>
      <c r="D1080" s="3">
        <f t="shared" si="67"/>
        <v>5.1927342005074024</v>
      </c>
      <c r="E1080" s="8">
        <f t="shared" si="64"/>
        <v>153.42857142857142</v>
      </c>
      <c r="F1080" s="3"/>
      <c r="G1080" s="3"/>
      <c r="H1080" s="3"/>
    </row>
    <row r="1081" spans="1:8" ht="18.5" x14ac:dyDescent="0.45">
      <c r="A1081" s="3">
        <v>1075</v>
      </c>
      <c r="B1081" s="9">
        <f t="shared" si="65"/>
        <v>0.99960312082652392</v>
      </c>
      <c r="C1081" s="3">
        <f t="shared" si="66"/>
        <v>4439837.2214630889</v>
      </c>
      <c r="D1081" s="3">
        <f t="shared" si="67"/>
        <v>5.1738048698753119</v>
      </c>
      <c r="E1081" s="8">
        <f t="shared" si="64"/>
        <v>153.57142857142858</v>
      </c>
      <c r="F1081" s="3"/>
      <c r="G1081" s="3"/>
      <c r="H1081" s="3"/>
    </row>
    <row r="1082" spans="1:8" ht="18.5" x14ac:dyDescent="0.45">
      <c r="A1082" s="3">
        <v>1076</v>
      </c>
      <c r="B1082" s="9">
        <f t="shared" si="65"/>
        <v>0.99960428143501368</v>
      </c>
      <c r="C1082" s="3">
        <f t="shared" si="66"/>
        <v>4439842.376421757</v>
      </c>
      <c r="D1082" s="3">
        <f t="shared" si="67"/>
        <v>5.1549586681649089</v>
      </c>
      <c r="E1082" s="8">
        <f t="shared" si="64"/>
        <v>153.71428571428572</v>
      </c>
      <c r="F1082" s="3"/>
      <c r="G1082" s="3"/>
      <c r="H1082" s="3"/>
    </row>
    <row r="1083" spans="1:8" ht="18.5" x14ac:dyDescent="0.45">
      <c r="A1083" s="3">
        <v>1077</v>
      </c>
      <c r="B1083" s="9">
        <f t="shared" si="65"/>
        <v>0.9996054378190119</v>
      </c>
      <c r="C1083" s="3">
        <f t="shared" si="66"/>
        <v>4439847.5126169231</v>
      </c>
      <c r="D1083" s="3">
        <f t="shared" si="67"/>
        <v>5.1361951660364866</v>
      </c>
      <c r="E1083" s="8">
        <f t="shared" si="64"/>
        <v>153.85714285714286</v>
      </c>
      <c r="F1083" s="3"/>
      <c r="G1083" s="3"/>
      <c r="H1083" s="3"/>
    </row>
    <row r="1084" spans="1:8" ht="18.5" x14ac:dyDescent="0.45">
      <c r="A1084" s="3">
        <v>1078</v>
      </c>
      <c r="B1084" s="9">
        <f t="shared" si="65"/>
        <v>0.99960658999704199</v>
      </c>
      <c r="C1084" s="3">
        <f t="shared" si="66"/>
        <v>4439852.6301308619</v>
      </c>
      <c r="D1084" s="3">
        <f t="shared" si="67"/>
        <v>5.117513938806951</v>
      </c>
      <c r="E1084" s="8">
        <f t="shared" si="64"/>
        <v>154</v>
      </c>
      <c r="F1084" s="3"/>
      <c r="G1084" s="3"/>
      <c r="H1084" s="3"/>
    </row>
    <row r="1085" spans="1:8" ht="18.5" x14ac:dyDescent="0.45">
      <c r="A1085" s="3">
        <v>1079</v>
      </c>
      <c r="B1085" s="9">
        <f t="shared" si="65"/>
        <v>0.99960773798753211</v>
      </c>
      <c r="C1085" s="3">
        <f t="shared" si="66"/>
        <v>4439857.7290454227</v>
      </c>
      <c r="D1085" s="3">
        <f t="shared" si="67"/>
        <v>5.0989145608618855</v>
      </c>
      <c r="E1085" s="8">
        <f t="shared" si="64"/>
        <v>154.14285714285714</v>
      </c>
      <c r="F1085" s="3"/>
      <c r="G1085" s="3"/>
      <c r="H1085" s="3"/>
    </row>
    <row r="1086" spans="1:8" ht="18.5" x14ac:dyDescent="0.45">
      <c r="A1086" s="3">
        <v>1080</v>
      </c>
      <c r="B1086" s="9">
        <f t="shared" si="65"/>
        <v>0.99960888180881524</v>
      </c>
      <c r="C1086" s="3">
        <f t="shared" si="66"/>
        <v>4439862.809442034</v>
      </c>
      <c r="D1086" s="3">
        <f t="shared" si="67"/>
        <v>5.0803966112434864</v>
      </c>
      <c r="E1086" s="8">
        <f t="shared" si="64"/>
        <v>154.28571428571428</v>
      </c>
      <c r="F1086" s="3"/>
      <c r="G1086" s="3"/>
      <c r="H1086" s="3"/>
    </row>
    <row r="1087" spans="1:8" ht="18.5" x14ac:dyDescent="0.45">
      <c r="A1087" s="3">
        <v>1081</v>
      </c>
      <c r="B1087" s="9">
        <f t="shared" si="65"/>
        <v>0.99961002147913036</v>
      </c>
      <c r="C1087" s="3">
        <f t="shared" si="66"/>
        <v>4439867.8714017058</v>
      </c>
      <c r="D1087" s="3">
        <f t="shared" si="67"/>
        <v>5.0619596717879176</v>
      </c>
      <c r="E1087" s="8">
        <f t="shared" si="64"/>
        <v>154.42857142857142</v>
      </c>
      <c r="F1087" s="3"/>
      <c r="G1087" s="3"/>
      <c r="H1087" s="3"/>
    </row>
    <row r="1088" spans="1:8" ht="18.5" x14ac:dyDescent="0.45">
      <c r="A1088" s="3">
        <v>1082</v>
      </c>
      <c r="B1088" s="9">
        <f t="shared" si="65"/>
        <v>0.99961115701662251</v>
      </c>
      <c r="C1088" s="3">
        <f t="shared" si="66"/>
        <v>4439872.9150050301</v>
      </c>
      <c r="D1088" s="3">
        <f t="shared" si="67"/>
        <v>5.0436033243313432</v>
      </c>
      <c r="E1088" s="8">
        <f t="shared" si="64"/>
        <v>154.57142857142858</v>
      </c>
      <c r="F1088" s="3"/>
      <c r="G1088" s="3"/>
      <c r="H1088" s="3"/>
    </row>
    <row r="1089" spans="1:8" ht="18.5" x14ac:dyDescent="0.45">
      <c r="A1089" s="3">
        <v>1083</v>
      </c>
      <c r="B1089" s="9">
        <f t="shared" si="65"/>
        <v>0.99961228843934369</v>
      </c>
      <c r="C1089" s="3">
        <f t="shared" si="66"/>
        <v>4439877.9403321892</v>
      </c>
      <c r="D1089" s="3">
        <f t="shared" si="67"/>
        <v>5.0253271590918303</v>
      </c>
      <c r="E1089" s="8">
        <f t="shared" si="64"/>
        <v>154.71428571428572</v>
      </c>
      <c r="F1089" s="3"/>
      <c r="G1089" s="3"/>
      <c r="H1089" s="3"/>
    </row>
    <row r="1090" spans="1:8" ht="18.5" x14ac:dyDescent="0.45">
      <c r="A1090" s="3">
        <v>1084</v>
      </c>
      <c r="B1090" s="9">
        <f t="shared" si="65"/>
        <v>0.9996134157652532</v>
      </c>
      <c r="C1090" s="3">
        <f t="shared" si="66"/>
        <v>4439882.947462949</v>
      </c>
      <c r="D1090" s="3">
        <f t="shared" si="67"/>
        <v>5.007130759768188</v>
      </c>
      <c r="E1090" s="8">
        <f t="shared" si="64"/>
        <v>154.85714285714286</v>
      </c>
      <c r="F1090" s="3"/>
      <c r="G1090" s="3"/>
      <c r="H1090" s="3"/>
    </row>
    <row r="1091" spans="1:8" ht="18.5" x14ac:dyDescent="0.45">
      <c r="A1091" s="3">
        <v>1085</v>
      </c>
      <c r="B1091" s="9">
        <f t="shared" si="65"/>
        <v>0.99961453901221831</v>
      </c>
      <c r="C1091" s="3">
        <f t="shared" si="66"/>
        <v>4439887.9364766693</v>
      </c>
      <c r="D1091" s="3">
        <f t="shared" si="67"/>
        <v>4.9890137203037739</v>
      </c>
      <c r="E1091" s="8">
        <f t="shared" si="64"/>
        <v>155</v>
      </c>
      <c r="F1091" s="3"/>
      <c r="G1091" s="3"/>
      <c r="H1091" s="3"/>
    </row>
    <row r="1092" spans="1:8" ht="18.5" x14ac:dyDescent="0.45">
      <c r="A1092" s="3">
        <v>1086</v>
      </c>
      <c r="B1092" s="9">
        <f t="shared" si="65"/>
        <v>0.99961565819801457</v>
      </c>
      <c r="C1092" s="3">
        <f t="shared" si="66"/>
        <v>4439892.9074523011</v>
      </c>
      <c r="D1092" s="3">
        <f t="shared" si="67"/>
        <v>4.9709756318479776</v>
      </c>
      <c r="E1092" s="8">
        <f t="shared" si="64"/>
        <v>155.14285714285714</v>
      </c>
      <c r="F1092" s="3"/>
      <c r="G1092" s="3"/>
      <c r="H1092" s="3"/>
    </row>
    <row r="1093" spans="1:8" ht="18.5" x14ac:dyDescent="0.45">
      <c r="A1093" s="3">
        <v>1087</v>
      </c>
      <c r="B1093" s="9">
        <f t="shared" si="65"/>
        <v>0.99961677334032673</v>
      </c>
      <c r="C1093" s="3">
        <f t="shared" si="66"/>
        <v>4439897.8604683951</v>
      </c>
      <c r="D1093" s="3">
        <f t="shared" si="67"/>
        <v>4.9530160939320922</v>
      </c>
      <c r="E1093" s="8">
        <f t="shared" si="64"/>
        <v>155.28571428571428</v>
      </c>
      <c r="F1093" s="3"/>
      <c r="G1093" s="3"/>
      <c r="H1093" s="3"/>
    </row>
    <row r="1094" spans="1:8" ht="18.5" x14ac:dyDescent="0.45">
      <c r="A1094" s="3">
        <v>1088</v>
      </c>
      <c r="B1094" s="9">
        <f t="shared" si="65"/>
        <v>0.99961788445674915</v>
      </c>
      <c r="C1094" s="3">
        <f t="shared" si="66"/>
        <v>4439902.7956030974</v>
      </c>
      <c r="D1094" s="3">
        <f t="shared" si="67"/>
        <v>4.9351347023621202</v>
      </c>
      <c r="E1094" s="8">
        <f t="shared" si="64"/>
        <v>155.42857142857142</v>
      </c>
      <c r="F1094" s="3"/>
      <c r="G1094" s="3"/>
      <c r="H1094" s="3"/>
    </row>
    <row r="1095" spans="1:8" ht="18.5" x14ac:dyDescent="0.45">
      <c r="A1095" s="3">
        <v>1089</v>
      </c>
      <c r="B1095" s="9">
        <f t="shared" si="65"/>
        <v>0.99961899156478584</v>
      </c>
      <c r="C1095" s="3">
        <f t="shared" si="66"/>
        <v>4439907.7129341532</v>
      </c>
      <c r="D1095" s="3">
        <f t="shared" si="67"/>
        <v>4.9173310557380319</v>
      </c>
      <c r="E1095" s="8">
        <f t="shared" ref="E1095:E1158" si="68">A1095/7</f>
        <v>155.57142857142858</v>
      </c>
      <c r="F1095" s="3"/>
      <c r="G1095" s="3"/>
      <c r="H1095" s="3"/>
    </row>
    <row r="1096" spans="1:8" ht="18.5" x14ac:dyDescent="0.45">
      <c r="A1096" s="3">
        <v>1090</v>
      </c>
      <c r="B1096" s="9">
        <f t="shared" ref="B1096:B1159" si="69">LOGNORMDIST(A1096,$A$3,$B$3)</f>
        <v>0.99962009468185198</v>
      </c>
      <c r="C1096" s="3">
        <f t="shared" ref="C1096:C1159" si="70">$E$3*B1096</f>
        <v>4439912.6125389142</v>
      </c>
      <c r="D1096" s="3">
        <f t="shared" ref="D1096:D1159" si="71">C1096-C1095</f>
        <v>4.8996047610417008</v>
      </c>
      <c r="E1096" s="8">
        <f t="shared" si="68"/>
        <v>155.71428571428572</v>
      </c>
      <c r="F1096" s="3"/>
      <c r="G1096" s="3"/>
      <c r="H1096" s="3"/>
    </row>
    <row r="1097" spans="1:8" ht="18.5" x14ac:dyDescent="0.45">
      <c r="A1097" s="3">
        <v>1091</v>
      </c>
      <c r="B1097" s="9">
        <f t="shared" si="69"/>
        <v>0.99962119382527348</v>
      </c>
      <c r="C1097" s="3">
        <f t="shared" si="70"/>
        <v>4439917.4944943348</v>
      </c>
      <c r="D1097" s="3">
        <f t="shared" si="71"/>
        <v>4.8819554205983877</v>
      </c>
      <c r="E1097" s="8">
        <f t="shared" si="68"/>
        <v>155.85714285714286</v>
      </c>
      <c r="F1097" s="3"/>
      <c r="G1097" s="3"/>
      <c r="H1097" s="3"/>
    </row>
    <row r="1098" spans="1:8" ht="18.5" x14ac:dyDescent="0.45">
      <c r="A1098" s="3">
        <v>1092</v>
      </c>
      <c r="B1098" s="9">
        <f t="shared" si="69"/>
        <v>0.99962228901228789</v>
      </c>
      <c r="C1098" s="3">
        <f t="shared" si="70"/>
        <v>4439922.358876978</v>
      </c>
      <c r="D1098" s="3">
        <f t="shared" si="71"/>
        <v>4.8643826432526112</v>
      </c>
      <c r="E1098" s="8">
        <f t="shared" si="68"/>
        <v>156</v>
      </c>
      <c r="F1098" s="3"/>
      <c r="G1098" s="3"/>
      <c r="H1098" s="3"/>
    </row>
    <row r="1099" spans="1:8" ht="18.5" x14ac:dyDescent="0.45">
      <c r="A1099" s="3">
        <v>1093</v>
      </c>
      <c r="B1099" s="9">
        <f t="shared" si="69"/>
        <v>0.99962338026004527</v>
      </c>
      <c r="C1099" s="3">
        <f t="shared" si="70"/>
        <v>4439927.2057630168</v>
      </c>
      <c r="D1099" s="3">
        <f t="shared" si="71"/>
        <v>4.8468860387802124</v>
      </c>
      <c r="E1099" s="8">
        <f t="shared" si="68"/>
        <v>156.14285714285714</v>
      </c>
      <c r="F1099" s="3"/>
      <c r="G1099" s="3"/>
      <c r="H1099" s="3"/>
    </row>
    <row r="1100" spans="1:8" ht="18.5" x14ac:dyDescent="0.45">
      <c r="A1100" s="3">
        <v>1094</v>
      </c>
      <c r="B1100" s="9">
        <f t="shared" si="69"/>
        <v>0.99962446758560797</v>
      </c>
      <c r="C1100" s="3">
        <f t="shared" si="70"/>
        <v>4439932.0352282366</v>
      </c>
      <c r="D1100" s="3">
        <f t="shared" si="71"/>
        <v>4.8294652197510004</v>
      </c>
      <c r="E1100" s="8">
        <f t="shared" si="68"/>
        <v>156.28571428571428</v>
      </c>
      <c r="F1100" s="3"/>
      <c r="G1100" s="3"/>
      <c r="H1100" s="3"/>
    </row>
    <row r="1101" spans="1:8" ht="18.5" x14ac:dyDescent="0.45">
      <c r="A1101" s="3">
        <v>1095</v>
      </c>
      <c r="B1101" s="9">
        <f t="shared" si="69"/>
        <v>0.99962555100595174</v>
      </c>
      <c r="C1101" s="3">
        <f t="shared" si="70"/>
        <v>4439936.8473480353</v>
      </c>
      <c r="D1101" s="3">
        <f t="shared" si="71"/>
        <v>4.8121197987347841</v>
      </c>
      <c r="E1101" s="8">
        <f t="shared" si="68"/>
        <v>156.42857142857142</v>
      </c>
      <c r="F1101" s="3"/>
      <c r="G1101" s="3"/>
      <c r="H1101" s="3"/>
    </row>
    <row r="1102" spans="1:8" ht="18.5" x14ac:dyDescent="0.45">
      <c r="A1102" s="3">
        <v>1096</v>
      </c>
      <c r="B1102" s="9">
        <f t="shared" si="69"/>
        <v>0.99962663053796597</v>
      </c>
      <c r="C1102" s="3">
        <f t="shared" si="70"/>
        <v>4439941.6421974292</v>
      </c>
      <c r="D1102" s="3">
        <f t="shared" si="71"/>
        <v>4.794849393889308</v>
      </c>
      <c r="E1102" s="8">
        <f t="shared" si="68"/>
        <v>156.57142857142858</v>
      </c>
      <c r="F1102" s="3"/>
      <c r="G1102" s="3"/>
      <c r="H1102" s="3"/>
    </row>
    <row r="1103" spans="1:8" ht="18.5" x14ac:dyDescent="0.45">
      <c r="A1103" s="3">
        <v>1097</v>
      </c>
      <c r="B1103" s="9">
        <f t="shared" si="69"/>
        <v>0.99962770619845442</v>
      </c>
      <c r="C1103" s="3">
        <f t="shared" si="70"/>
        <v>4439946.4198510554</v>
      </c>
      <c r="D1103" s="3">
        <f t="shared" si="71"/>
        <v>4.7776536261662841</v>
      </c>
      <c r="E1103" s="8">
        <f t="shared" si="68"/>
        <v>156.71428571428572</v>
      </c>
      <c r="F1103" s="3"/>
      <c r="G1103" s="3"/>
      <c r="H1103" s="3"/>
    </row>
    <row r="1104" spans="1:8" ht="18.5" x14ac:dyDescent="0.45">
      <c r="A1104" s="3">
        <v>1098</v>
      </c>
      <c r="B1104" s="9">
        <f t="shared" si="69"/>
        <v>0.99962877800413519</v>
      </c>
      <c r="C1104" s="3">
        <f t="shared" si="70"/>
        <v>4439951.1803831672</v>
      </c>
      <c r="D1104" s="3">
        <f t="shared" si="71"/>
        <v>4.7605321118608117</v>
      </c>
      <c r="E1104" s="8">
        <f t="shared" si="68"/>
        <v>156.85714285714286</v>
      </c>
      <c r="F1104" s="3"/>
      <c r="G1104" s="3"/>
      <c r="H1104" s="3"/>
    </row>
    <row r="1105" spans="1:8" ht="18.5" x14ac:dyDescent="0.45">
      <c r="A1105" s="3">
        <v>1099</v>
      </c>
      <c r="B1105" s="9">
        <f t="shared" si="69"/>
        <v>0.99962984597164206</v>
      </c>
      <c r="C1105" s="3">
        <f t="shared" si="70"/>
        <v>4439955.9238676457</v>
      </c>
      <c r="D1105" s="3">
        <f t="shared" si="71"/>
        <v>4.743484478443861</v>
      </c>
      <c r="E1105" s="8">
        <f t="shared" si="68"/>
        <v>157</v>
      </c>
      <c r="F1105" s="3"/>
      <c r="G1105" s="3"/>
      <c r="H1105" s="3"/>
    </row>
    <row r="1106" spans="1:8" ht="18.5" x14ac:dyDescent="0.45">
      <c r="A1106" s="3">
        <v>1100</v>
      </c>
      <c r="B1106" s="9">
        <f t="shared" si="69"/>
        <v>0.99963091011752414</v>
      </c>
      <c r="C1106" s="3">
        <f t="shared" si="70"/>
        <v>4439960.6503779953</v>
      </c>
      <c r="D1106" s="3">
        <f t="shared" si="71"/>
        <v>4.7265103496611118</v>
      </c>
      <c r="E1106" s="8">
        <f t="shared" si="68"/>
        <v>157.14285714285714</v>
      </c>
      <c r="F1106" s="3"/>
      <c r="G1106" s="3"/>
      <c r="H1106" s="3"/>
    </row>
    <row r="1107" spans="1:8" ht="18.5" x14ac:dyDescent="0.45">
      <c r="A1107" s="3">
        <v>1101</v>
      </c>
      <c r="B1107" s="9">
        <f t="shared" si="69"/>
        <v>0.99963197045824692</v>
      </c>
      <c r="C1107" s="3">
        <f t="shared" si="70"/>
        <v>4439965.3599873492</v>
      </c>
      <c r="D1107" s="3">
        <f t="shared" si="71"/>
        <v>4.7096093539148569</v>
      </c>
      <c r="E1107" s="8">
        <f t="shared" si="68"/>
        <v>157.28571428571428</v>
      </c>
      <c r="F1107" s="3"/>
      <c r="G1107" s="3"/>
      <c r="H1107" s="3"/>
    </row>
    <row r="1108" spans="1:8" ht="18.5" x14ac:dyDescent="0.45">
      <c r="A1108" s="3">
        <v>1102</v>
      </c>
      <c r="B1108" s="9">
        <f t="shared" si="69"/>
        <v>0.99963302701019241</v>
      </c>
      <c r="C1108" s="3">
        <f t="shared" si="70"/>
        <v>4439970.0527684707</v>
      </c>
      <c r="D1108" s="3">
        <f t="shared" si="71"/>
        <v>4.6927811214700341</v>
      </c>
      <c r="E1108" s="8">
        <f t="shared" si="68"/>
        <v>157.42857142857142</v>
      </c>
      <c r="F1108" s="3"/>
      <c r="G1108" s="3"/>
      <c r="H1108" s="3"/>
    </row>
    <row r="1109" spans="1:8" ht="18.5" x14ac:dyDescent="0.45">
      <c r="A1109" s="3">
        <v>1103</v>
      </c>
      <c r="B1109" s="9">
        <f t="shared" si="69"/>
        <v>0.99963407978966012</v>
      </c>
      <c r="C1109" s="3">
        <f t="shared" si="70"/>
        <v>4439974.7287937542</v>
      </c>
      <c r="D1109" s="3">
        <f t="shared" si="71"/>
        <v>4.6760252835229039</v>
      </c>
      <c r="E1109" s="8">
        <f t="shared" si="68"/>
        <v>157.57142857142858</v>
      </c>
      <c r="F1109" s="3"/>
      <c r="G1109" s="3"/>
      <c r="H1109" s="3"/>
    </row>
    <row r="1110" spans="1:8" ht="18.5" x14ac:dyDescent="0.45">
      <c r="A1110" s="3">
        <v>1104</v>
      </c>
      <c r="B1110" s="9">
        <f t="shared" si="69"/>
        <v>0.99963512881286687</v>
      </c>
      <c r="C1110" s="3">
        <f t="shared" si="70"/>
        <v>4439979.3881352292</v>
      </c>
      <c r="D1110" s="3">
        <f t="shared" si="71"/>
        <v>4.6593414749950171</v>
      </c>
      <c r="E1110" s="8">
        <f t="shared" si="68"/>
        <v>157.71428571428572</v>
      </c>
      <c r="F1110" s="3"/>
      <c r="G1110" s="3"/>
      <c r="H1110" s="3"/>
    </row>
    <row r="1111" spans="1:8" ht="18.5" x14ac:dyDescent="0.45">
      <c r="A1111" s="3">
        <v>1105</v>
      </c>
      <c r="B1111" s="9">
        <f t="shared" si="69"/>
        <v>0.99963617409594785</v>
      </c>
      <c r="C1111" s="3">
        <f t="shared" si="70"/>
        <v>4439984.0308645619</v>
      </c>
      <c r="D1111" s="3">
        <f t="shared" si="71"/>
        <v>4.6427293326705694</v>
      </c>
      <c r="E1111" s="8">
        <f t="shared" si="68"/>
        <v>157.85714285714286</v>
      </c>
      <c r="F1111" s="3"/>
      <c r="G1111" s="3"/>
      <c r="H1111" s="3"/>
    </row>
    <row r="1112" spans="1:8" ht="18.5" x14ac:dyDescent="0.45">
      <c r="A1112" s="3">
        <v>1106</v>
      </c>
      <c r="B1112" s="9">
        <f t="shared" si="69"/>
        <v>0.99963721565495656</v>
      </c>
      <c r="C1112" s="3">
        <f t="shared" si="70"/>
        <v>4439988.6570530552</v>
      </c>
      <c r="D1112" s="3">
        <f t="shared" si="71"/>
        <v>4.6261884933337569</v>
      </c>
      <c r="E1112" s="8">
        <f t="shared" si="68"/>
        <v>158</v>
      </c>
      <c r="F1112" s="3"/>
      <c r="G1112" s="3"/>
      <c r="H1112" s="3"/>
    </row>
    <row r="1113" spans="1:8" ht="18.5" x14ac:dyDescent="0.45">
      <c r="A1113" s="3">
        <v>1107</v>
      </c>
      <c r="B1113" s="9">
        <f t="shared" si="69"/>
        <v>0.99963825350586599</v>
      </c>
      <c r="C1113" s="3">
        <f t="shared" si="70"/>
        <v>4439993.2667716546</v>
      </c>
      <c r="D1113" s="3">
        <f t="shared" si="71"/>
        <v>4.6097185993567109</v>
      </c>
      <c r="E1113" s="8">
        <f t="shared" si="68"/>
        <v>158.14285714285714</v>
      </c>
      <c r="F1113" s="3"/>
      <c r="G1113" s="3"/>
      <c r="H1113" s="3"/>
    </row>
    <row r="1114" spans="1:8" ht="18.5" x14ac:dyDescent="0.45">
      <c r="A1114" s="3">
        <v>1108</v>
      </c>
      <c r="B1114" s="9">
        <f t="shared" si="69"/>
        <v>0.99963928766456833</v>
      </c>
      <c r="C1114" s="3">
        <f t="shared" si="70"/>
        <v>4439997.8600909468</v>
      </c>
      <c r="D1114" s="3">
        <f t="shared" si="71"/>
        <v>4.5933192921802402</v>
      </c>
      <c r="E1114" s="8">
        <f t="shared" si="68"/>
        <v>158.28571428571428</v>
      </c>
      <c r="F1114" s="3"/>
      <c r="G1114" s="3"/>
      <c r="H1114" s="3"/>
    </row>
    <row r="1115" spans="1:8" ht="18.5" x14ac:dyDescent="0.45">
      <c r="A1115" s="3">
        <v>1109</v>
      </c>
      <c r="B1115" s="9">
        <f t="shared" si="69"/>
        <v>0.99964031814687593</v>
      </c>
      <c r="C1115" s="3">
        <f t="shared" si="70"/>
        <v>4440002.4370811637</v>
      </c>
      <c r="D1115" s="3">
        <f t="shared" si="71"/>
        <v>4.5769902169704437</v>
      </c>
      <c r="E1115" s="8">
        <f t="shared" si="68"/>
        <v>158.42857142857142</v>
      </c>
      <c r="F1115" s="3"/>
      <c r="G1115" s="3"/>
      <c r="H1115" s="3"/>
    </row>
    <row r="1116" spans="1:8" ht="18.5" x14ac:dyDescent="0.45">
      <c r="A1116" s="3">
        <v>1110</v>
      </c>
      <c r="B1116" s="9">
        <f t="shared" si="69"/>
        <v>0.99964134496852175</v>
      </c>
      <c r="C1116" s="3">
        <f t="shared" si="70"/>
        <v>4440006.9978121864</v>
      </c>
      <c r="D1116" s="3">
        <f t="shared" si="71"/>
        <v>4.560731022618711</v>
      </c>
      <c r="E1116" s="8">
        <f t="shared" si="68"/>
        <v>158.57142857142858</v>
      </c>
      <c r="F1116" s="3"/>
      <c r="G1116" s="3"/>
      <c r="H1116" s="3"/>
    </row>
    <row r="1117" spans="1:8" ht="18.5" x14ac:dyDescent="0.45">
      <c r="A1117" s="3">
        <v>1111</v>
      </c>
      <c r="B1117" s="9">
        <f t="shared" si="69"/>
        <v>0.99964236814515939</v>
      </c>
      <c r="C1117" s="3">
        <f t="shared" si="70"/>
        <v>4440011.5423535397</v>
      </c>
      <c r="D1117" s="3">
        <f t="shared" si="71"/>
        <v>4.5445413533598185</v>
      </c>
      <c r="E1117" s="8">
        <f t="shared" si="68"/>
        <v>158.71428571428572</v>
      </c>
      <c r="F1117" s="3"/>
      <c r="G1117" s="3"/>
      <c r="H1117" s="3"/>
    </row>
    <row r="1118" spans="1:8" ht="18.5" x14ac:dyDescent="0.45">
      <c r="A1118" s="3">
        <v>1112</v>
      </c>
      <c r="B1118" s="9">
        <f t="shared" si="69"/>
        <v>0.99964338769236405</v>
      </c>
      <c r="C1118" s="3">
        <f t="shared" si="70"/>
        <v>4440016.0707744043</v>
      </c>
      <c r="D1118" s="3">
        <f t="shared" si="71"/>
        <v>4.5284208646044135</v>
      </c>
      <c r="E1118" s="8">
        <f t="shared" si="68"/>
        <v>158.85714285714286</v>
      </c>
      <c r="F1118" s="3"/>
      <c r="G1118" s="3"/>
      <c r="H1118" s="3"/>
    </row>
    <row r="1119" spans="1:8" ht="18.5" x14ac:dyDescent="0.45">
      <c r="A1119" s="3">
        <v>1113</v>
      </c>
      <c r="B1119" s="9">
        <f t="shared" si="69"/>
        <v>0.99964440362563289</v>
      </c>
      <c r="C1119" s="3">
        <f t="shared" si="70"/>
        <v>4440020.5831436114</v>
      </c>
      <c r="D1119" s="3">
        <f t="shared" si="71"/>
        <v>4.5123692071065307</v>
      </c>
      <c r="E1119" s="8">
        <f t="shared" si="68"/>
        <v>159</v>
      </c>
      <c r="F1119" s="3"/>
      <c r="G1119" s="3"/>
      <c r="H1119" s="3"/>
    </row>
    <row r="1120" spans="1:8" ht="18.5" x14ac:dyDescent="0.45">
      <c r="A1120" s="3">
        <v>1114</v>
      </c>
      <c r="B1120" s="9">
        <f t="shared" si="69"/>
        <v>0.99964541596038503</v>
      </c>
      <c r="C1120" s="3">
        <f t="shared" si="70"/>
        <v>4440025.0795296459</v>
      </c>
      <c r="D1120" s="3">
        <f t="shared" si="71"/>
        <v>4.4963860344141722</v>
      </c>
      <c r="E1120" s="8">
        <f t="shared" si="68"/>
        <v>159.14285714285714</v>
      </c>
      <c r="F1120" s="3"/>
      <c r="G1120" s="3"/>
      <c r="H1120" s="3"/>
    </row>
    <row r="1121" spans="1:8" ht="18.5" x14ac:dyDescent="0.45">
      <c r="A1121" s="3">
        <v>1115</v>
      </c>
      <c r="B1121" s="9">
        <f t="shared" si="69"/>
        <v>0.99964642471196274</v>
      </c>
      <c r="C1121" s="3">
        <f t="shared" si="70"/>
        <v>4440029.5600006534</v>
      </c>
      <c r="D1121" s="3">
        <f t="shared" si="71"/>
        <v>4.4804710075259209</v>
      </c>
      <c r="E1121" s="8">
        <f t="shared" si="68"/>
        <v>159.28571428571428</v>
      </c>
      <c r="F1121" s="3"/>
      <c r="G1121" s="3"/>
      <c r="H1121" s="3"/>
    </row>
    <row r="1122" spans="1:8" ht="18.5" x14ac:dyDescent="0.45">
      <c r="A1122" s="3">
        <v>1116</v>
      </c>
      <c r="B1122" s="9">
        <f t="shared" si="69"/>
        <v>0.99964742989563116</v>
      </c>
      <c r="C1122" s="3">
        <f t="shared" si="70"/>
        <v>4440034.0246244352</v>
      </c>
      <c r="D1122" s="3">
        <f t="shared" si="71"/>
        <v>4.4646237818524241</v>
      </c>
      <c r="E1122" s="8">
        <f t="shared" si="68"/>
        <v>159.42857142857142</v>
      </c>
      <c r="F1122" s="3"/>
      <c r="G1122" s="3"/>
      <c r="H1122" s="3"/>
    </row>
    <row r="1123" spans="1:8" ht="18.5" x14ac:dyDescent="0.45">
      <c r="A1123" s="3">
        <v>1117</v>
      </c>
      <c r="B1123" s="9">
        <f t="shared" si="69"/>
        <v>0.99964843152657923</v>
      </c>
      <c r="C1123" s="3">
        <f t="shared" si="70"/>
        <v>4440038.4734684546</v>
      </c>
      <c r="D1123" s="3">
        <f t="shared" si="71"/>
        <v>4.4488440193235874</v>
      </c>
      <c r="E1123" s="8">
        <f t="shared" si="68"/>
        <v>159.57142857142858</v>
      </c>
      <c r="F1123" s="3"/>
      <c r="G1123" s="3"/>
      <c r="H1123" s="3"/>
    </row>
    <row r="1124" spans="1:8" ht="18.5" x14ac:dyDescent="0.45">
      <c r="A1124" s="3">
        <v>1118</v>
      </c>
      <c r="B1124" s="9">
        <f t="shared" si="69"/>
        <v>0.99964942961991998</v>
      </c>
      <c r="C1124" s="3">
        <f t="shared" si="70"/>
        <v>4440042.9065998364</v>
      </c>
      <c r="D1124" s="3">
        <f t="shared" si="71"/>
        <v>4.4331313818693161</v>
      </c>
      <c r="E1124" s="8">
        <f t="shared" si="68"/>
        <v>159.71428571428572</v>
      </c>
      <c r="F1124" s="3"/>
      <c r="G1124" s="3"/>
      <c r="H1124" s="3"/>
    </row>
    <row r="1125" spans="1:8" ht="18.5" x14ac:dyDescent="0.45">
      <c r="A1125" s="3">
        <v>1119</v>
      </c>
      <c r="B1125" s="9">
        <f t="shared" si="69"/>
        <v>0.99965042419069094</v>
      </c>
      <c r="C1125" s="3">
        <f t="shared" si="70"/>
        <v>4440047.3240853725</v>
      </c>
      <c r="D1125" s="3">
        <f t="shared" si="71"/>
        <v>4.4174855360761285</v>
      </c>
      <c r="E1125" s="8">
        <f t="shared" si="68"/>
        <v>159.85714285714286</v>
      </c>
      <c r="F1125" s="3"/>
      <c r="G1125" s="3"/>
      <c r="H1125" s="3"/>
    </row>
    <row r="1126" spans="1:8" ht="18.5" x14ac:dyDescent="0.45">
      <c r="A1126" s="3">
        <v>1120</v>
      </c>
      <c r="B1126" s="9">
        <f t="shared" si="69"/>
        <v>0.99965141525385459</v>
      </c>
      <c r="C1126" s="3">
        <f t="shared" si="70"/>
        <v>4440051.7259915201</v>
      </c>
      <c r="D1126" s="3">
        <f t="shared" si="71"/>
        <v>4.4019061475992203</v>
      </c>
      <c r="E1126" s="8">
        <f t="shared" si="68"/>
        <v>160</v>
      </c>
      <c r="F1126" s="3"/>
      <c r="G1126" s="3"/>
      <c r="H1126" s="3"/>
    </row>
    <row r="1127" spans="1:8" ht="18.5" x14ac:dyDescent="0.45">
      <c r="A1127" s="3">
        <v>1121</v>
      </c>
      <c r="B1127" s="9">
        <f t="shared" si="69"/>
        <v>0.99965240282429879</v>
      </c>
      <c r="C1127" s="3">
        <f t="shared" si="70"/>
        <v>4440056.1123844059</v>
      </c>
      <c r="D1127" s="3">
        <f t="shared" si="71"/>
        <v>4.3863928858190775</v>
      </c>
      <c r="E1127" s="8">
        <f t="shared" si="68"/>
        <v>160.14285714285714</v>
      </c>
      <c r="F1127" s="3"/>
      <c r="G1127" s="3"/>
      <c r="H1127" s="3"/>
    </row>
    <row r="1128" spans="1:8" ht="18.5" x14ac:dyDescent="0.45">
      <c r="A1128" s="3">
        <v>1122</v>
      </c>
      <c r="B1128" s="9">
        <f t="shared" si="69"/>
        <v>0.99965338691683714</v>
      </c>
      <c r="C1128" s="3">
        <f t="shared" si="70"/>
        <v>4440060.4833298242</v>
      </c>
      <c r="D1128" s="3">
        <f t="shared" si="71"/>
        <v>4.370945418253541</v>
      </c>
      <c r="E1128" s="8">
        <f t="shared" si="68"/>
        <v>160.28571428571428</v>
      </c>
      <c r="F1128" s="3"/>
      <c r="G1128" s="3"/>
      <c r="H1128" s="3"/>
    </row>
    <row r="1129" spans="1:8" ht="18.5" x14ac:dyDescent="0.45">
      <c r="A1129" s="3">
        <v>1123</v>
      </c>
      <c r="B1129" s="9">
        <f t="shared" si="69"/>
        <v>0.99965436754620962</v>
      </c>
      <c r="C1129" s="3">
        <f t="shared" si="70"/>
        <v>4440064.838893245</v>
      </c>
      <c r="D1129" s="3">
        <f t="shared" si="71"/>
        <v>4.3555634208023548</v>
      </c>
      <c r="E1129" s="8">
        <f t="shared" si="68"/>
        <v>160.42857142857142</v>
      </c>
      <c r="F1129" s="3"/>
      <c r="G1129" s="3"/>
      <c r="H1129" s="3"/>
    </row>
    <row r="1130" spans="1:8" ht="18.5" x14ac:dyDescent="0.45">
      <c r="A1130" s="3">
        <v>1124</v>
      </c>
      <c r="B1130" s="9">
        <f t="shared" si="69"/>
        <v>0.99965534472708273</v>
      </c>
      <c r="C1130" s="3">
        <f t="shared" si="70"/>
        <v>4440069.1791398106</v>
      </c>
      <c r="D1130" s="3">
        <f t="shared" si="71"/>
        <v>4.3402465656399727</v>
      </c>
      <c r="E1130" s="8">
        <f t="shared" si="68"/>
        <v>160.57142857142858</v>
      </c>
      <c r="F1130" s="3"/>
      <c r="G1130" s="3"/>
      <c r="H1130" s="3"/>
    </row>
    <row r="1131" spans="1:8" ht="18.5" x14ac:dyDescent="0.45">
      <c r="A1131" s="3">
        <v>1125</v>
      </c>
      <c r="B1131" s="9">
        <f t="shared" si="69"/>
        <v>0.99965631847405023</v>
      </c>
      <c r="C1131" s="3">
        <f t="shared" si="70"/>
        <v>4440073.5041343411</v>
      </c>
      <c r="D1131" s="3">
        <f t="shared" si="71"/>
        <v>4.3249945305287838</v>
      </c>
      <c r="E1131" s="8">
        <f t="shared" si="68"/>
        <v>160.71428571428572</v>
      </c>
      <c r="F1131" s="3"/>
      <c r="G1131" s="3"/>
      <c r="H1131" s="3"/>
    </row>
    <row r="1132" spans="1:8" ht="18.5" x14ac:dyDescent="0.45">
      <c r="A1132" s="3">
        <v>1126</v>
      </c>
      <c r="B1132" s="9">
        <f t="shared" si="69"/>
        <v>0.99965728880163318</v>
      </c>
      <c r="C1132" s="3">
        <f t="shared" si="70"/>
        <v>4440077.8139413344</v>
      </c>
      <c r="D1132" s="3">
        <f t="shared" si="71"/>
        <v>4.3098069932311773</v>
      </c>
      <c r="E1132" s="8">
        <f t="shared" si="68"/>
        <v>160.85714285714286</v>
      </c>
      <c r="F1132" s="3"/>
      <c r="G1132" s="3"/>
      <c r="H1132" s="3"/>
    </row>
    <row r="1133" spans="1:8" ht="18.5" x14ac:dyDescent="0.45">
      <c r="A1133" s="3">
        <v>1127</v>
      </c>
      <c r="B1133" s="9">
        <f t="shared" si="69"/>
        <v>0.9996582557242808</v>
      </c>
      <c r="C1133" s="3">
        <f t="shared" si="70"/>
        <v>4440082.1086249659</v>
      </c>
      <c r="D1133" s="3">
        <f t="shared" si="71"/>
        <v>4.2946836315095425</v>
      </c>
      <c r="E1133" s="8">
        <f t="shared" si="68"/>
        <v>161</v>
      </c>
      <c r="F1133" s="3"/>
      <c r="G1133" s="3"/>
      <c r="H1133" s="3"/>
    </row>
    <row r="1134" spans="1:8" ht="18.5" x14ac:dyDescent="0.45">
      <c r="A1134" s="3">
        <v>1128</v>
      </c>
      <c r="B1134" s="9">
        <f t="shared" si="69"/>
        <v>0.99965921925637025</v>
      </c>
      <c r="C1134" s="3">
        <f t="shared" si="70"/>
        <v>4440086.3882490937</v>
      </c>
      <c r="D1134" s="3">
        <f t="shared" si="71"/>
        <v>4.2796241277828813</v>
      </c>
      <c r="E1134" s="8">
        <f t="shared" si="68"/>
        <v>161.14285714285714</v>
      </c>
      <c r="F1134" s="3"/>
      <c r="G1134" s="3"/>
      <c r="H1134" s="3"/>
    </row>
    <row r="1135" spans="1:8" ht="18.5" x14ac:dyDescent="0.45">
      <c r="A1135" s="3">
        <v>1129</v>
      </c>
      <c r="B1135" s="9">
        <f t="shared" si="69"/>
        <v>0.99966017941220775</v>
      </c>
      <c r="C1135" s="3">
        <f t="shared" si="70"/>
        <v>4440090.6528772619</v>
      </c>
      <c r="D1135" s="3">
        <f t="shared" si="71"/>
        <v>4.2646281681954861</v>
      </c>
      <c r="E1135" s="8">
        <f t="shared" si="68"/>
        <v>161.28571428571428</v>
      </c>
      <c r="F1135" s="3"/>
      <c r="G1135" s="3"/>
      <c r="H1135" s="3"/>
    </row>
    <row r="1136" spans="1:8" ht="18.5" x14ac:dyDescent="0.45">
      <c r="A1136" s="3">
        <v>1130</v>
      </c>
      <c r="B1136" s="9">
        <f t="shared" si="69"/>
        <v>0.99966113620602859</v>
      </c>
      <c r="C1136" s="3">
        <f t="shared" si="70"/>
        <v>4440094.902572697</v>
      </c>
      <c r="D1136" s="3">
        <f t="shared" si="71"/>
        <v>4.2496954351663589</v>
      </c>
      <c r="E1136" s="8">
        <f t="shared" si="68"/>
        <v>161.42857142857142</v>
      </c>
      <c r="F1136" s="3"/>
      <c r="G1136" s="3"/>
      <c r="H1136" s="3"/>
    </row>
    <row r="1137" spans="1:8" ht="18.5" x14ac:dyDescent="0.45">
      <c r="A1137" s="3">
        <v>1131</v>
      </c>
      <c r="B1137" s="9">
        <f t="shared" si="69"/>
        <v>0.99966208965199754</v>
      </c>
      <c r="C1137" s="3">
        <f t="shared" si="70"/>
        <v>4440099.1373983119</v>
      </c>
      <c r="D1137" s="3">
        <f t="shared" si="71"/>
        <v>4.2348256148397923</v>
      </c>
      <c r="E1137" s="8">
        <f t="shared" si="68"/>
        <v>161.57142857142858</v>
      </c>
      <c r="F1137" s="3"/>
      <c r="G1137" s="3"/>
      <c r="H1137" s="3"/>
    </row>
    <row r="1138" spans="1:8" ht="18.5" x14ac:dyDescent="0.45">
      <c r="A1138" s="3">
        <v>1132</v>
      </c>
      <c r="B1138" s="9">
        <f t="shared" si="69"/>
        <v>0.99966303976420934</v>
      </c>
      <c r="C1138" s="3">
        <f t="shared" si="70"/>
        <v>4440103.3574167117</v>
      </c>
      <c r="D1138" s="3">
        <f t="shared" si="71"/>
        <v>4.2200183998793364</v>
      </c>
      <c r="E1138" s="8">
        <f t="shared" si="68"/>
        <v>161.71428571428572</v>
      </c>
      <c r="F1138" s="3"/>
      <c r="G1138" s="3"/>
      <c r="H1138" s="3"/>
    </row>
    <row r="1139" spans="1:8" ht="18.5" x14ac:dyDescent="0.45">
      <c r="A1139" s="3">
        <v>1133</v>
      </c>
      <c r="B1139" s="9">
        <f t="shared" si="69"/>
        <v>0.9996639865566892</v>
      </c>
      <c r="C1139" s="3">
        <f t="shared" si="70"/>
        <v>4440107.562690191</v>
      </c>
      <c r="D1139" s="3">
        <f t="shared" si="71"/>
        <v>4.2052734792232513</v>
      </c>
      <c r="E1139" s="8">
        <f t="shared" si="68"/>
        <v>161.85714285714286</v>
      </c>
      <c r="F1139" s="3"/>
      <c r="G1139" s="3"/>
      <c r="H1139" s="3"/>
    </row>
    <row r="1140" spans="1:8" ht="18.5" x14ac:dyDescent="0.45">
      <c r="A1140" s="3">
        <v>1134</v>
      </c>
      <c r="B1140" s="9">
        <f t="shared" si="69"/>
        <v>0.99966493004339296</v>
      </c>
      <c r="C1140" s="3">
        <f t="shared" si="70"/>
        <v>4440111.7532807346</v>
      </c>
      <c r="D1140" s="3">
        <f t="shared" si="71"/>
        <v>4.1905905436724424</v>
      </c>
      <c r="E1140" s="8">
        <f t="shared" si="68"/>
        <v>162</v>
      </c>
      <c r="F1140" s="3"/>
      <c r="G1140" s="3"/>
      <c r="H1140" s="3"/>
    </row>
    <row r="1141" spans="1:8" ht="18.5" x14ac:dyDescent="0.45">
      <c r="A1141" s="3">
        <v>1135</v>
      </c>
      <c r="B1141" s="9">
        <f t="shared" si="69"/>
        <v>0.99966587023820741</v>
      </c>
      <c r="C1141" s="3">
        <f t="shared" si="70"/>
        <v>4440115.9292500224</v>
      </c>
      <c r="D1141" s="3">
        <f t="shared" si="71"/>
        <v>4.1759692877531052</v>
      </c>
      <c r="E1141" s="8">
        <f t="shared" si="68"/>
        <v>162.14285714285714</v>
      </c>
      <c r="F1141" s="3"/>
      <c r="G1141" s="3"/>
      <c r="H1141" s="3"/>
    </row>
    <row r="1142" spans="1:8" ht="18.5" x14ac:dyDescent="0.45">
      <c r="A1142" s="3">
        <v>1136</v>
      </c>
      <c r="B1142" s="9">
        <f t="shared" si="69"/>
        <v>0.99966680715495126</v>
      </c>
      <c r="C1142" s="3">
        <f t="shared" si="70"/>
        <v>4440120.0906594312</v>
      </c>
      <c r="D1142" s="3">
        <f t="shared" si="71"/>
        <v>4.1614094087854028</v>
      </c>
      <c r="E1142" s="8">
        <f t="shared" si="68"/>
        <v>162.28571428571428</v>
      </c>
      <c r="F1142" s="3"/>
      <c r="G1142" s="3"/>
      <c r="H1142" s="3"/>
    </row>
    <row r="1143" spans="1:8" ht="18.5" x14ac:dyDescent="0.45">
      <c r="A1143" s="3">
        <v>1137</v>
      </c>
      <c r="B1143" s="9">
        <f t="shared" si="69"/>
        <v>0.99966774080737486</v>
      </c>
      <c r="C1143" s="3">
        <f t="shared" si="70"/>
        <v>4440124.2375700362</v>
      </c>
      <c r="D1143" s="3">
        <f t="shared" si="71"/>
        <v>4.1469106050208211</v>
      </c>
      <c r="E1143" s="8">
        <f t="shared" si="68"/>
        <v>162.42857142857142</v>
      </c>
      <c r="F1143" s="3"/>
      <c r="G1143" s="3"/>
      <c r="H1143" s="3"/>
    </row>
    <row r="1144" spans="1:8" ht="18.5" x14ac:dyDescent="0.45">
      <c r="A1144" s="3">
        <v>1138</v>
      </c>
      <c r="B1144" s="9">
        <f t="shared" si="69"/>
        <v>0.99966867120916103</v>
      </c>
      <c r="C1144" s="3">
        <f t="shared" si="70"/>
        <v>4440128.37004261</v>
      </c>
      <c r="D1144" s="3">
        <f t="shared" si="71"/>
        <v>4.1324725737795234</v>
      </c>
      <c r="E1144" s="8">
        <f t="shared" si="68"/>
        <v>162.57142857142858</v>
      </c>
      <c r="F1144" s="3"/>
      <c r="G1144" s="3"/>
      <c r="H1144" s="3"/>
    </row>
    <row r="1145" spans="1:8" ht="18.5" x14ac:dyDescent="0.45">
      <c r="A1145" s="3">
        <v>1139</v>
      </c>
      <c r="B1145" s="9">
        <f t="shared" si="69"/>
        <v>0.99966959837392499</v>
      </c>
      <c r="C1145" s="3">
        <f t="shared" si="70"/>
        <v>4440132.4881376252</v>
      </c>
      <c r="D1145" s="3">
        <f t="shared" si="71"/>
        <v>4.1180950151756406</v>
      </c>
      <c r="E1145" s="8">
        <f t="shared" si="68"/>
        <v>162.71428571428572</v>
      </c>
      <c r="F1145" s="3"/>
      <c r="G1145" s="3"/>
      <c r="H1145" s="3"/>
    </row>
    <row r="1146" spans="1:8" ht="18.5" x14ac:dyDescent="0.45">
      <c r="A1146" s="3">
        <v>1140</v>
      </c>
      <c r="B1146" s="9">
        <f t="shared" si="69"/>
        <v>0.99967052231521536</v>
      </c>
      <c r="C1146" s="3">
        <f t="shared" si="70"/>
        <v>4440136.591915261</v>
      </c>
      <c r="D1146" s="3">
        <f t="shared" si="71"/>
        <v>4.1037776358425617</v>
      </c>
      <c r="E1146" s="8">
        <f t="shared" si="68"/>
        <v>162.85714285714286</v>
      </c>
      <c r="F1146" s="3"/>
      <c r="G1146" s="3"/>
      <c r="H1146" s="3"/>
    </row>
    <row r="1147" spans="1:8" ht="18.5" x14ac:dyDescent="0.45">
      <c r="A1147" s="3">
        <v>1141</v>
      </c>
      <c r="B1147" s="9">
        <f t="shared" si="69"/>
        <v>0.99967144304651412</v>
      </c>
      <c r="C1147" s="3">
        <f t="shared" si="70"/>
        <v>4440140.6814353969</v>
      </c>
      <c r="D1147" s="3">
        <f t="shared" si="71"/>
        <v>4.0895201358944178</v>
      </c>
      <c r="E1147" s="8">
        <f t="shared" si="68"/>
        <v>163</v>
      </c>
      <c r="F1147" s="3"/>
      <c r="G1147" s="3"/>
      <c r="H1147" s="3"/>
    </row>
    <row r="1148" spans="1:8" ht="18.5" x14ac:dyDescent="0.45">
      <c r="A1148" s="3">
        <v>1142</v>
      </c>
      <c r="B1148" s="9">
        <f t="shared" si="69"/>
        <v>0.99967236058123687</v>
      </c>
      <c r="C1148" s="3">
        <f t="shared" si="70"/>
        <v>4440144.7567576217</v>
      </c>
      <c r="D1148" s="3">
        <f t="shared" si="71"/>
        <v>4.0753222247585654</v>
      </c>
      <c r="E1148" s="8">
        <f t="shared" si="68"/>
        <v>163.14285714285714</v>
      </c>
      <c r="F1148" s="3"/>
      <c r="G1148" s="3"/>
      <c r="H1148" s="3"/>
    </row>
    <row r="1149" spans="1:8" ht="18.5" x14ac:dyDescent="0.45">
      <c r="A1149" s="3">
        <v>1143</v>
      </c>
      <c r="B1149" s="9">
        <f t="shared" si="69"/>
        <v>0.99967327493273361</v>
      </c>
      <c r="C1149" s="3">
        <f t="shared" si="70"/>
        <v>4440148.8179412298</v>
      </c>
      <c r="D1149" s="3">
        <f t="shared" si="71"/>
        <v>4.0611836081370711</v>
      </c>
      <c r="E1149" s="8">
        <f t="shared" si="68"/>
        <v>163.28571428571428</v>
      </c>
      <c r="F1149" s="3"/>
      <c r="G1149" s="3"/>
      <c r="H1149" s="3"/>
    </row>
    <row r="1150" spans="1:8" ht="18.5" x14ac:dyDescent="0.45">
      <c r="A1150" s="3">
        <v>1144</v>
      </c>
      <c r="B1150" s="9">
        <f t="shared" si="69"/>
        <v>0.99967418611428882</v>
      </c>
      <c r="C1150" s="3">
        <f t="shared" si="70"/>
        <v>4440152.8650452252</v>
      </c>
      <c r="D1150" s="3">
        <f t="shared" si="71"/>
        <v>4.0471039954572916</v>
      </c>
      <c r="E1150" s="8">
        <f t="shared" si="68"/>
        <v>163.42857142857142</v>
      </c>
      <c r="F1150" s="3"/>
      <c r="G1150" s="3"/>
      <c r="H1150" s="3"/>
    </row>
    <row r="1151" spans="1:8" ht="18.5" x14ac:dyDescent="0.45">
      <c r="A1151" s="3">
        <v>1145</v>
      </c>
      <c r="B1151" s="9">
        <f t="shared" si="69"/>
        <v>0.99967509413912203</v>
      </c>
      <c r="C1151" s="3">
        <f t="shared" si="70"/>
        <v>4440156.8981283242</v>
      </c>
      <c r="D1151" s="3">
        <f t="shared" si="71"/>
        <v>4.0330830989405513</v>
      </c>
      <c r="E1151" s="8">
        <f t="shared" si="68"/>
        <v>163.57142857142858</v>
      </c>
      <c r="F1151" s="3"/>
      <c r="G1151" s="3"/>
      <c r="H1151" s="3"/>
    </row>
    <row r="1152" spans="1:8" ht="18.5" x14ac:dyDescent="0.45">
      <c r="A1152" s="3">
        <v>1146</v>
      </c>
      <c r="B1152" s="9">
        <f t="shared" si="69"/>
        <v>0.99967599902038795</v>
      </c>
      <c r="C1152" s="3">
        <f t="shared" si="70"/>
        <v>4440160.917248955</v>
      </c>
      <c r="D1152" s="3">
        <f t="shared" si="71"/>
        <v>4.0191206308081746</v>
      </c>
      <c r="E1152" s="8">
        <f t="shared" si="68"/>
        <v>163.71428571428572</v>
      </c>
      <c r="F1152" s="3"/>
      <c r="G1152" s="3"/>
      <c r="H1152" s="3"/>
    </row>
    <row r="1153" spans="1:8" ht="18.5" x14ac:dyDescent="0.45">
      <c r="A1153" s="3">
        <v>1147</v>
      </c>
      <c r="B1153" s="9">
        <f t="shared" si="69"/>
        <v>0.99967690077117699</v>
      </c>
      <c r="C1153" s="3">
        <f t="shared" si="70"/>
        <v>4440164.9224652601</v>
      </c>
      <c r="D1153" s="3">
        <f t="shared" si="71"/>
        <v>4.0052163051441312</v>
      </c>
      <c r="E1153" s="8">
        <f t="shared" si="68"/>
        <v>163.85714285714286</v>
      </c>
      <c r="F1153" s="3"/>
      <c r="G1153" s="3"/>
      <c r="H1153" s="3"/>
    </row>
    <row r="1154" spans="1:8" ht="18.5" x14ac:dyDescent="0.45">
      <c r="A1154" s="3">
        <v>1148</v>
      </c>
      <c r="B1154" s="9">
        <f t="shared" si="69"/>
        <v>0.99967779940451562</v>
      </c>
      <c r="C1154" s="3">
        <f t="shared" si="70"/>
        <v>4440168.9138350962</v>
      </c>
      <c r="D1154" s="3">
        <f t="shared" si="71"/>
        <v>3.9913698360323906</v>
      </c>
      <c r="E1154" s="8">
        <f t="shared" si="68"/>
        <v>164</v>
      </c>
      <c r="F1154" s="3"/>
      <c r="G1154" s="3"/>
      <c r="H1154" s="3"/>
    </row>
    <row r="1155" spans="1:8" ht="18.5" x14ac:dyDescent="0.45">
      <c r="A1155" s="3">
        <v>1149</v>
      </c>
      <c r="B1155" s="9">
        <f t="shared" si="69"/>
        <v>0.9996786949333667</v>
      </c>
      <c r="C1155" s="3">
        <f t="shared" si="70"/>
        <v>4440172.8914160412</v>
      </c>
      <c r="D1155" s="3">
        <f t="shared" si="71"/>
        <v>3.977580945007503</v>
      </c>
      <c r="E1155" s="8">
        <f t="shared" si="68"/>
        <v>164.14285714285714</v>
      </c>
      <c r="F1155" s="3"/>
      <c r="G1155" s="3"/>
      <c r="H1155" s="3"/>
    </row>
    <row r="1156" spans="1:8" ht="18.5" x14ac:dyDescent="0.45">
      <c r="A1156" s="3">
        <v>1150</v>
      </c>
      <c r="B1156" s="9">
        <f t="shared" si="69"/>
        <v>0.99967958737062967</v>
      </c>
      <c r="C1156" s="3">
        <f t="shared" si="70"/>
        <v>4440176.8552653892</v>
      </c>
      <c r="D1156" s="3">
        <f t="shared" si="71"/>
        <v>3.9638493480160832</v>
      </c>
      <c r="E1156" s="8">
        <f t="shared" si="68"/>
        <v>164.28571428571428</v>
      </c>
      <c r="F1156" s="3"/>
      <c r="G1156" s="3"/>
      <c r="H1156" s="3"/>
    </row>
    <row r="1157" spans="1:8" ht="18.5" x14ac:dyDescent="0.45">
      <c r="A1157" s="3">
        <v>1151</v>
      </c>
      <c r="B1157" s="9">
        <f t="shared" si="69"/>
        <v>0.9996804767291414</v>
      </c>
      <c r="C1157" s="3">
        <f t="shared" si="70"/>
        <v>4440180.8054401549</v>
      </c>
      <c r="D1157" s="3">
        <f t="shared" si="71"/>
        <v>3.9501747656613588</v>
      </c>
      <c r="E1157" s="8">
        <f t="shared" si="68"/>
        <v>164.42857142857142</v>
      </c>
      <c r="F1157" s="3"/>
      <c r="G1157" s="3"/>
      <c r="H1157" s="3"/>
    </row>
    <row r="1158" spans="1:8" ht="18.5" x14ac:dyDescent="0.45">
      <c r="A1158" s="3">
        <v>1152</v>
      </c>
      <c r="B1158" s="9">
        <f t="shared" si="69"/>
        <v>0.99968136302167598</v>
      </c>
      <c r="C1158" s="3">
        <f t="shared" si="70"/>
        <v>4440184.7419970762</v>
      </c>
      <c r="D1158" s="3">
        <f t="shared" si="71"/>
        <v>3.9365569213405252</v>
      </c>
      <c r="E1158" s="8">
        <f t="shared" si="68"/>
        <v>164.57142857142858</v>
      </c>
      <c r="F1158" s="3"/>
      <c r="G1158" s="3"/>
      <c r="H1158" s="3"/>
    </row>
    <row r="1159" spans="1:8" ht="18.5" x14ac:dyDescent="0.45">
      <c r="A1159" s="3">
        <v>1153</v>
      </c>
      <c r="B1159" s="9">
        <f t="shared" si="69"/>
        <v>0.99968224626094537</v>
      </c>
      <c r="C1159" s="3">
        <f t="shared" si="70"/>
        <v>4440188.6649926146</v>
      </c>
      <c r="D1159" s="3">
        <f t="shared" si="71"/>
        <v>3.9229955384507775</v>
      </c>
      <c r="E1159" s="8">
        <f t="shared" ref="E1159:E1222" si="72">A1159/7</f>
        <v>164.71428571428572</v>
      </c>
      <c r="F1159" s="3"/>
      <c r="G1159" s="3"/>
      <c r="H1159" s="3"/>
    </row>
    <row r="1160" spans="1:8" ht="18.5" x14ac:dyDescent="0.45">
      <c r="A1160" s="3">
        <v>1154</v>
      </c>
      <c r="B1160" s="9">
        <f t="shared" ref="B1160:B1223" si="73">LOGNORMDIST(A1160,$A$3,$B$3)</f>
        <v>0.99968312645959967</v>
      </c>
      <c r="C1160" s="3">
        <f t="shared" ref="C1160:C1223" si="74">$E$3*B1160</f>
        <v>4440192.5744829578</v>
      </c>
      <c r="D1160" s="3">
        <f t="shared" ref="D1160:D1223" si="75">C1160-C1159</f>
        <v>3.909490343183279</v>
      </c>
      <c r="E1160" s="8">
        <f t="shared" si="72"/>
        <v>164.85714285714286</v>
      </c>
      <c r="F1160" s="3"/>
      <c r="G1160" s="3"/>
      <c r="H1160" s="3"/>
    </row>
    <row r="1161" spans="1:8" ht="18.5" x14ac:dyDescent="0.45">
      <c r="A1161" s="3">
        <v>1155</v>
      </c>
      <c r="B1161" s="9">
        <f t="shared" si="73"/>
        <v>0.99968400363022747</v>
      </c>
      <c r="C1161" s="3">
        <f t="shared" si="74"/>
        <v>4440196.4705240186</v>
      </c>
      <c r="D1161" s="3">
        <f t="shared" si="75"/>
        <v>3.8960410607978702</v>
      </c>
      <c r="E1161" s="8">
        <f t="shared" si="72"/>
        <v>165</v>
      </c>
      <c r="F1161" s="3"/>
      <c r="G1161" s="3"/>
      <c r="H1161" s="3"/>
    </row>
    <row r="1162" spans="1:8" ht="18.5" x14ac:dyDescent="0.45">
      <c r="A1162" s="3">
        <v>1156</v>
      </c>
      <c r="B1162" s="9">
        <f t="shared" si="73"/>
        <v>0.9996848777853562</v>
      </c>
      <c r="C1162" s="3">
        <f t="shared" si="74"/>
        <v>4440200.353171438</v>
      </c>
      <c r="D1162" s="3">
        <f t="shared" si="75"/>
        <v>3.8826474193483591</v>
      </c>
      <c r="E1162" s="8">
        <f t="shared" si="72"/>
        <v>165.14285714285714</v>
      </c>
      <c r="F1162" s="3"/>
      <c r="G1162" s="3"/>
      <c r="H1162" s="3"/>
    </row>
    <row r="1163" spans="1:8" ht="18.5" x14ac:dyDescent="0.45">
      <c r="A1163" s="3">
        <v>1157</v>
      </c>
      <c r="B1163" s="9">
        <f t="shared" si="73"/>
        <v>0.99968574893745255</v>
      </c>
      <c r="C1163" s="3">
        <f t="shared" si="74"/>
        <v>4440204.2224805895</v>
      </c>
      <c r="D1163" s="3">
        <f t="shared" si="75"/>
        <v>3.869309151545167</v>
      </c>
      <c r="E1163" s="8">
        <f t="shared" si="72"/>
        <v>165.28571428571428</v>
      </c>
      <c r="F1163" s="3"/>
      <c r="G1163" s="3"/>
      <c r="H1163" s="3"/>
    </row>
    <row r="1164" spans="1:8" ht="18.5" x14ac:dyDescent="0.45">
      <c r="A1164" s="3">
        <v>1158</v>
      </c>
      <c r="B1164" s="9">
        <f t="shared" si="73"/>
        <v>0.9996866170989227</v>
      </c>
      <c r="C1164" s="3">
        <f t="shared" si="74"/>
        <v>4440208.078506575</v>
      </c>
      <c r="D1164" s="3">
        <f t="shared" si="75"/>
        <v>3.856025985442102</v>
      </c>
      <c r="E1164" s="8">
        <f t="shared" si="72"/>
        <v>165.42857142857142</v>
      </c>
      <c r="F1164" s="3"/>
      <c r="G1164" s="3"/>
      <c r="H1164" s="3"/>
    </row>
    <row r="1165" spans="1:8" ht="18.5" x14ac:dyDescent="0.45">
      <c r="A1165" s="3">
        <v>1159</v>
      </c>
      <c r="B1165" s="9">
        <f t="shared" si="73"/>
        <v>0.99968748228211257</v>
      </c>
      <c r="C1165" s="3">
        <f t="shared" si="74"/>
        <v>4440211.9213042315</v>
      </c>
      <c r="D1165" s="3">
        <f t="shared" si="75"/>
        <v>3.8427976565435529</v>
      </c>
      <c r="E1165" s="8">
        <f t="shared" si="72"/>
        <v>165.57142857142858</v>
      </c>
      <c r="F1165" s="3"/>
      <c r="G1165" s="3"/>
      <c r="H1165" s="3"/>
    </row>
    <row r="1166" spans="1:8" ht="18.5" x14ac:dyDescent="0.45">
      <c r="A1166" s="3">
        <v>1160</v>
      </c>
      <c r="B1166" s="9">
        <f t="shared" si="73"/>
        <v>0.99968834449930855</v>
      </c>
      <c r="C1166" s="3">
        <f t="shared" si="74"/>
        <v>4440215.7509281291</v>
      </c>
      <c r="D1166" s="3">
        <f t="shared" si="75"/>
        <v>3.8296238975599408</v>
      </c>
      <c r="E1166" s="8">
        <f t="shared" si="72"/>
        <v>165.71428571428572</v>
      </c>
      <c r="F1166" s="3"/>
      <c r="G1166" s="3"/>
      <c r="H1166" s="3"/>
    </row>
    <row r="1167" spans="1:8" ht="18.5" x14ac:dyDescent="0.45">
      <c r="A1167" s="3">
        <v>1161</v>
      </c>
      <c r="B1167" s="9">
        <f t="shared" si="73"/>
        <v>0.9996892037627374</v>
      </c>
      <c r="C1167" s="3">
        <f t="shared" si="74"/>
        <v>4440219.567432574</v>
      </c>
      <c r="D1167" s="3">
        <f t="shared" si="75"/>
        <v>3.8165044449269772</v>
      </c>
      <c r="E1167" s="8">
        <f t="shared" si="72"/>
        <v>165.85714285714286</v>
      </c>
      <c r="F1167" s="3"/>
      <c r="G1167" s="3"/>
      <c r="H1167" s="3"/>
    </row>
    <row r="1168" spans="1:8" ht="18.5" x14ac:dyDescent="0.45">
      <c r="A1168" s="3">
        <v>1162</v>
      </c>
      <c r="B1168" s="9">
        <f t="shared" si="73"/>
        <v>0.99969006008456662</v>
      </c>
      <c r="C1168" s="3">
        <f t="shared" si="74"/>
        <v>4440223.3708716109</v>
      </c>
      <c r="D1168" s="3">
        <f t="shared" si="75"/>
        <v>3.8034390369430184</v>
      </c>
      <c r="E1168" s="8">
        <f t="shared" si="72"/>
        <v>166</v>
      </c>
      <c r="F1168" s="3"/>
      <c r="G1168" s="3"/>
      <c r="H1168" s="3"/>
    </row>
    <row r="1169" spans="1:8" ht="18.5" x14ac:dyDescent="0.45">
      <c r="A1169" s="3">
        <v>1163</v>
      </c>
      <c r="B1169" s="9">
        <f t="shared" si="73"/>
        <v>0.99969091347690509</v>
      </c>
      <c r="C1169" s="3">
        <f t="shared" si="74"/>
        <v>4440227.1612990219</v>
      </c>
      <c r="D1169" s="3">
        <f t="shared" si="75"/>
        <v>3.7904274109750986</v>
      </c>
      <c r="E1169" s="8">
        <f t="shared" si="72"/>
        <v>166.14285714285714</v>
      </c>
      <c r="F1169" s="3"/>
      <c r="G1169" s="3"/>
      <c r="H1169" s="3"/>
    </row>
    <row r="1170" spans="1:8" ht="18.5" x14ac:dyDescent="0.45">
      <c r="A1170" s="3">
        <v>1164</v>
      </c>
      <c r="B1170" s="9">
        <f t="shared" si="73"/>
        <v>0.99969176395180315</v>
      </c>
      <c r="C1170" s="3">
        <f t="shared" si="74"/>
        <v>4440230.9387683291</v>
      </c>
      <c r="D1170" s="3">
        <f t="shared" si="75"/>
        <v>3.7774693071842194</v>
      </c>
      <c r="E1170" s="8">
        <f t="shared" si="72"/>
        <v>166.28571428571428</v>
      </c>
      <c r="F1170" s="3"/>
      <c r="G1170" s="3"/>
      <c r="H1170" s="3"/>
    </row>
    <row r="1171" spans="1:8" ht="18.5" x14ac:dyDescent="0.45">
      <c r="A1171" s="3">
        <v>1165</v>
      </c>
      <c r="B1171" s="9">
        <f t="shared" si="73"/>
        <v>0.99969261152125299</v>
      </c>
      <c r="C1171" s="3">
        <f t="shared" si="74"/>
        <v>4440234.7033327976</v>
      </c>
      <c r="D1171" s="3">
        <f t="shared" si="75"/>
        <v>3.7645644685253501</v>
      </c>
      <c r="E1171" s="8">
        <f t="shared" si="72"/>
        <v>166.42857142857142</v>
      </c>
      <c r="F1171" s="3"/>
      <c r="G1171" s="3"/>
      <c r="H1171" s="3"/>
    </row>
    <row r="1172" spans="1:8" ht="18.5" x14ac:dyDescent="0.45">
      <c r="A1172" s="3">
        <v>1166</v>
      </c>
      <c r="B1172" s="9">
        <f t="shared" si="73"/>
        <v>0.99969345619718908</v>
      </c>
      <c r="C1172" s="3">
        <f t="shared" si="74"/>
        <v>4440238.4550454346</v>
      </c>
      <c r="D1172" s="3">
        <f t="shared" si="75"/>
        <v>3.7517126370221376</v>
      </c>
      <c r="E1172" s="8">
        <f t="shared" si="72"/>
        <v>166.57142857142858</v>
      </c>
      <c r="F1172" s="3"/>
      <c r="G1172" s="3"/>
      <c r="H1172" s="3"/>
    </row>
    <row r="1173" spans="1:8" ht="18.5" x14ac:dyDescent="0.45">
      <c r="A1173" s="3">
        <v>1167</v>
      </c>
      <c r="B1173" s="9">
        <f t="shared" si="73"/>
        <v>0.99969429799148812</v>
      </c>
      <c r="C1173" s="3">
        <f t="shared" si="74"/>
        <v>4440242.193958994</v>
      </c>
      <c r="D1173" s="3">
        <f t="shared" si="75"/>
        <v>3.7389135593548417</v>
      </c>
      <c r="E1173" s="8">
        <f t="shared" si="72"/>
        <v>166.71428571428572</v>
      </c>
      <c r="F1173" s="3"/>
      <c r="G1173" s="3"/>
      <c r="H1173" s="3"/>
    </row>
    <row r="1174" spans="1:8" ht="18.5" x14ac:dyDescent="0.45">
      <c r="A1174" s="3">
        <v>1168</v>
      </c>
      <c r="B1174" s="9">
        <f t="shared" si="73"/>
        <v>0.9996951369159699</v>
      </c>
      <c r="C1174" s="3">
        <f t="shared" si="74"/>
        <v>4440245.9201259715</v>
      </c>
      <c r="D1174" s="3">
        <f t="shared" si="75"/>
        <v>3.7261669775471091</v>
      </c>
      <c r="E1174" s="8">
        <f t="shared" si="72"/>
        <v>166.85714285714286</v>
      </c>
      <c r="F1174" s="3"/>
      <c r="G1174" s="3"/>
      <c r="H1174" s="3"/>
    </row>
    <row r="1175" spans="1:8" ht="18.5" x14ac:dyDescent="0.45">
      <c r="A1175" s="3">
        <v>1169</v>
      </c>
      <c r="B1175" s="9">
        <f t="shared" si="73"/>
        <v>0.9996959729823971</v>
      </c>
      <c r="C1175" s="3">
        <f t="shared" si="74"/>
        <v>4440249.6335986145</v>
      </c>
      <c r="D1175" s="3">
        <f t="shared" si="75"/>
        <v>3.7134726429358125</v>
      </c>
      <c r="E1175" s="8">
        <f t="shared" si="72"/>
        <v>167</v>
      </c>
      <c r="F1175" s="3"/>
      <c r="G1175" s="3"/>
      <c r="H1175" s="3"/>
    </row>
    <row r="1176" spans="1:8" ht="18.5" x14ac:dyDescent="0.45">
      <c r="A1176" s="3">
        <v>1170</v>
      </c>
      <c r="B1176" s="9">
        <f t="shared" si="73"/>
        <v>0.99969680620247592</v>
      </c>
      <c r="C1176" s="3">
        <f t="shared" si="74"/>
        <v>4440253.3344289167</v>
      </c>
      <c r="D1176" s="3">
        <f t="shared" si="75"/>
        <v>3.7008303022012115</v>
      </c>
      <c r="E1176" s="8">
        <f t="shared" si="72"/>
        <v>167.14285714285714</v>
      </c>
      <c r="F1176" s="3"/>
      <c r="G1176" s="3"/>
      <c r="H1176" s="3"/>
    </row>
    <row r="1177" spans="1:8" ht="18.5" x14ac:dyDescent="0.45">
      <c r="A1177" s="3">
        <v>1171</v>
      </c>
      <c r="B1177" s="9">
        <f t="shared" si="73"/>
        <v>0.99969763658785649</v>
      </c>
      <c r="C1177" s="3">
        <f t="shared" si="74"/>
        <v>4440257.0226686234</v>
      </c>
      <c r="D1177" s="3">
        <f t="shared" si="75"/>
        <v>3.6882397066801786</v>
      </c>
      <c r="E1177" s="8">
        <f t="shared" si="72"/>
        <v>167.28571428571428</v>
      </c>
      <c r="F1177" s="3"/>
      <c r="G1177" s="3"/>
      <c r="H1177" s="3"/>
    </row>
    <row r="1178" spans="1:8" ht="18.5" x14ac:dyDescent="0.45">
      <c r="A1178" s="3">
        <v>1172</v>
      </c>
      <c r="B1178" s="9">
        <f t="shared" si="73"/>
        <v>0.99969846415013275</v>
      </c>
      <c r="C1178" s="3">
        <f t="shared" si="74"/>
        <v>4440260.6983692292</v>
      </c>
      <c r="D1178" s="3">
        <f t="shared" si="75"/>
        <v>3.6757006058469415</v>
      </c>
      <c r="E1178" s="8">
        <f t="shared" si="72"/>
        <v>167.42857142857142</v>
      </c>
      <c r="F1178" s="3"/>
      <c r="G1178" s="3"/>
      <c r="H1178" s="3"/>
    </row>
    <row r="1179" spans="1:8" ht="18.5" x14ac:dyDescent="0.45">
      <c r="A1179" s="3">
        <v>1173</v>
      </c>
      <c r="B1179" s="9">
        <f t="shared" si="73"/>
        <v>0.99969928890084314</v>
      </c>
      <c r="C1179" s="3">
        <f t="shared" si="74"/>
        <v>4440264.3615819849</v>
      </c>
      <c r="D1179" s="3">
        <f t="shared" si="75"/>
        <v>3.6632127556949854</v>
      </c>
      <c r="E1179" s="8">
        <f t="shared" si="72"/>
        <v>167.57142857142858</v>
      </c>
      <c r="F1179" s="3"/>
      <c r="G1179" s="3"/>
      <c r="H1179" s="3"/>
    </row>
    <row r="1180" spans="1:8" ht="18.5" x14ac:dyDescent="0.45">
      <c r="A1180" s="3">
        <v>1174</v>
      </c>
      <c r="B1180" s="9">
        <f t="shared" si="73"/>
        <v>0.9997001108514707</v>
      </c>
      <c r="C1180" s="3">
        <f t="shared" si="74"/>
        <v>4440268.0123578925</v>
      </c>
      <c r="D1180" s="3">
        <f t="shared" si="75"/>
        <v>3.650775907561183</v>
      </c>
      <c r="E1180" s="8">
        <f t="shared" si="72"/>
        <v>167.71428571428572</v>
      </c>
      <c r="F1180" s="3"/>
      <c r="G1180" s="3"/>
      <c r="H1180" s="3"/>
    </row>
    <row r="1181" spans="1:8" ht="18.5" x14ac:dyDescent="0.45">
      <c r="A1181" s="3">
        <v>1175</v>
      </c>
      <c r="B1181" s="9">
        <f t="shared" si="73"/>
        <v>0.99970093001344373</v>
      </c>
      <c r="C1181" s="3">
        <f t="shared" si="74"/>
        <v>4440271.6507477118</v>
      </c>
      <c r="D1181" s="3">
        <f t="shared" si="75"/>
        <v>3.6383898193016648</v>
      </c>
      <c r="E1181" s="8">
        <f t="shared" si="72"/>
        <v>167.85714285714286</v>
      </c>
      <c r="F1181" s="3"/>
      <c r="G1181" s="3"/>
      <c r="H1181" s="3"/>
    </row>
    <row r="1182" spans="1:8" ht="18.5" x14ac:dyDescent="0.45">
      <c r="A1182" s="3">
        <v>1176</v>
      </c>
      <c r="B1182" s="9">
        <f t="shared" si="73"/>
        <v>0.99970174639813536</v>
      </c>
      <c r="C1182" s="3">
        <f t="shared" si="74"/>
        <v>4440275.2768019577</v>
      </c>
      <c r="D1182" s="3">
        <f t="shared" si="75"/>
        <v>3.6260542459785938</v>
      </c>
      <c r="E1182" s="8">
        <f t="shared" si="72"/>
        <v>168</v>
      </c>
      <c r="F1182" s="3"/>
      <c r="G1182" s="3"/>
      <c r="H1182" s="3"/>
    </row>
    <row r="1183" spans="1:8" ht="18.5" x14ac:dyDescent="0.45">
      <c r="A1183" s="3">
        <v>1177</v>
      </c>
      <c r="B1183" s="9">
        <f t="shared" si="73"/>
        <v>0.99970256001686464</v>
      </c>
      <c r="C1183" s="3">
        <f t="shared" si="74"/>
        <v>4440278.890570906</v>
      </c>
      <c r="D1183" s="3">
        <f t="shared" si="75"/>
        <v>3.6137689482420683</v>
      </c>
      <c r="E1183" s="8">
        <f t="shared" si="72"/>
        <v>168.14285714285714</v>
      </c>
      <c r="F1183" s="3"/>
      <c r="G1183" s="3"/>
      <c r="H1183" s="3"/>
    </row>
    <row r="1184" spans="1:8" ht="18.5" x14ac:dyDescent="0.45">
      <c r="A1184" s="3">
        <v>1178</v>
      </c>
      <c r="B1184" s="9">
        <f t="shared" si="73"/>
        <v>0.99970337088089634</v>
      </c>
      <c r="C1184" s="3">
        <f t="shared" si="74"/>
        <v>4440282.492104589</v>
      </c>
      <c r="D1184" s="3">
        <f t="shared" si="75"/>
        <v>3.6015336830168962</v>
      </c>
      <c r="E1184" s="8">
        <f t="shared" si="72"/>
        <v>168.28571428571428</v>
      </c>
      <c r="F1184" s="3"/>
      <c r="G1184" s="3"/>
      <c r="H1184" s="3"/>
    </row>
    <row r="1185" spans="1:8" ht="18.5" x14ac:dyDescent="0.45">
      <c r="A1185" s="3">
        <v>1179</v>
      </c>
      <c r="B1185" s="9">
        <f t="shared" si="73"/>
        <v>0.99970417900144171</v>
      </c>
      <c r="C1185" s="3">
        <f t="shared" si="74"/>
        <v>4440286.0814528037</v>
      </c>
      <c r="D1185" s="3">
        <f t="shared" si="75"/>
        <v>3.5893482146784663</v>
      </c>
      <c r="E1185" s="8">
        <f t="shared" si="72"/>
        <v>168.42857142857142</v>
      </c>
      <c r="F1185" s="3"/>
      <c r="G1185" s="3"/>
      <c r="H1185" s="3"/>
    </row>
    <row r="1186" spans="1:8" ht="18.5" x14ac:dyDescent="0.45">
      <c r="A1186" s="3">
        <v>1180</v>
      </c>
      <c r="B1186" s="9">
        <f t="shared" si="73"/>
        <v>0.99970498438965816</v>
      </c>
      <c r="C1186" s="3">
        <f t="shared" si="74"/>
        <v>4440289.6586651057</v>
      </c>
      <c r="D1186" s="3">
        <f t="shared" si="75"/>
        <v>3.5772123020142317</v>
      </c>
      <c r="E1186" s="8">
        <f t="shared" si="72"/>
        <v>168.57142857142858</v>
      </c>
      <c r="F1186" s="3"/>
      <c r="G1186" s="3"/>
      <c r="H1186" s="3"/>
    </row>
    <row r="1187" spans="1:8" ht="18.5" x14ac:dyDescent="0.45">
      <c r="A1187" s="3">
        <v>1181</v>
      </c>
      <c r="B1187" s="9">
        <f t="shared" si="73"/>
        <v>0.99970578705664992</v>
      </c>
      <c r="C1187" s="3">
        <f t="shared" si="74"/>
        <v>4440293.223790816</v>
      </c>
      <c r="D1187" s="3">
        <f t="shared" si="75"/>
        <v>3.5651257103309035</v>
      </c>
      <c r="E1187" s="8">
        <f t="shared" si="72"/>
        <v>168.71428571428572</v>
      </c>
      <c r="F1187" s="3"/>
      <c r="G1187" s="3"/>
      <c r="H1187" s="3"/>
    </row>
    <row r="1188" spans="1:8" ht="18.5" x14ac:dyDescent="0.45">
      <c r="A1188" s="3">
        <v>1182</v>
      </c>
      <c r="B1188" s="9">
        <f t="shared" si="73"/>
        <v>0.99970658701346848</v>
      </c>
      <c r="C1188" s="3">
        <f t="shared" si="74"/>
        <v>4440296.7768790219</v>
      </c>
      <c r="D1188" s="3">
        <f t="shared" si="75"/>
        <v>3.5530882058665156</v>
      </c>
      <c r="E1188" s="8">
        <f t="shared" si="72"/>
        <v>168.85714285714286</v>
      </c>
      <c r="F1188" s="3"/>
      <c r="G1188" s="3"/>
      <c r="H1188" s="3"/>
    </row>
    <row r="1189" spans="1:8" ht="18.5" x14ac:dyDescent="0.45">
      <c r="A1189" s="3">
        <v>1183</v>
      </c>
      <c r="B1189" s="9">
        <f t="shared" si="73"/>
        <v>0.9997073842711125</v>
      </c>
      <c r="C1189" s="3">
        <f t="shared" si="74"/>
        <v>4440300.317978573</v>
      </c>
      <c r="D1189" s="3">
        <f t="shared" si="75"/>
        <v>3.5410995511338115</v>
      </c>
      <c r="E1189" s="8">
        <f t="shared" si="72"/>
        <v>169</v>
      </c>
      <c r="F1189" s="3"/>
      <c r="G1189" s="3"/>
      <c r="H1189" s="3"/>
    </row>
    <row r="1190" spans="1:8" ht="18.5" x14ac:dyDescent="0.45">
      <c r="A1190" s="3">
        <v>1184</v>
      </c>
      <c r="B1190" s="9">
        <f t="shared" si="73"/>
        <v>0.99970817884052843</v>
      </c>
      <c r="C1190" s="3">
        <f t="shared" si="74"/>
        <v>4440303.847138091</v>
      </c>
      <c r="D1190" s="3">
        <f t="shared" si="75"/>
        <v>3.5291595179587603</v>
      </c>
      <c r="E1190" s="8">
        <f t="shared" si="72"/>
        <v>169.14285714285714</v>
      </c>
      <c r="F1190" s="3"/>
      <c r="G1190" s="3"/>
      <c r="H1190" s="3"/>
    </row>
    <row r="1191" spans="1:8" ht="18.5" x14ac:dyDescent="0.45">
      <c r="A1191" s="3">
        <v>1185</v>
      </c>
      <c r="B1191" s="9">
        <f t="shared" si="73"/>
        <v>0.99970897073261056</v>
      </c>
      <c r="C1191" s="3">
        <f t="shared" si="74"/>
        <v>4440307.3644059626</v>
      </c>
      <c r="D1191" s="3">
        <f t="shared" si="75"/>
        <v>3.5172678716480732</v>
      </c>
      <c r="E1191" s="8">
        <f t="shared" si="72"/>
        <v>169.28571428571428</v>
      </c>
      <c r="F1191" s="3"/>
      <c r="G1191" s="3"/>
      <c r="H1191" s="3"/>
    </row>
    <row r="1192" spans="1:8" ht="18.5" x14ac:dyDescent="0.45">
      <c r="A1192" s="3">
        <v>1186</v>
      </c>
      <c r="B1192" s="9">
        <f t="shared" si="73"/>
        <v>0.99970975995820133</v>
      </c>
      <c r="C1192" s="3">
        <f t="shared" si="74"/>
        <v>4440310.8698303467</v>
      </c>
      <c r="D1192" s="3">
        <f t="shared" si="75"/>
        <v>3.5054243840277195</v>
      </c>
      <c r="E1192" s="8">
        <f t="shared" si="72"/>
        <v>169.42857142857142</v>
      </c>
      <c r="F1192" s="3"/>
      <c r="G1192" s="3"/>
      <c r="H1192" s="3"/>
    </row>
    <row r="1193" spans="1:8" ht="18.5" x14ac:dyDescent="0.45">
      <c r="A1193" s="3">
        <v>1187</v>
      </c>
      <c r="B1193" s="9">
        <f t="shared" si="73"/>
        <v>0.99971054652809199</v>
      </c>
      <c r="C1193" s="3">
        <f t="shared" si="74"/>
        <v>4440314.3634591736</v>
      </c>
      <c r="D1193" s="3">
        <f t="shared" si="75"/>
        <v>3.4936288269236684</v>
      </c>
      <c r="E1193" s="8">
        <f t="shared" si="72"/>
        <v>169.57142857142858</v>
      </c>
      <c r="F1193" s="3"/>
      <c r="G1193" s="3"/>
      <c r="H1193" s="3"/>
    </row>
    <row r="1194" spans="1:8" ht="18.5" x14ac:dyDescent="0.45">
      <c r="A1194" s="3">
        <v>1188</v>
      </c>
      <c r="B1194" s="9">
        <f t="shared" si="73"/>
        <v>0.99971133045302207</v>
      </c>
      <c r="C1194" s="3">
        <f t="shared" si="74"/>
        <v>4440317.845340143</v>
      </c>
      <c r="D1194" s="3">
        <f t="shared" si="75"/>
        <v>3.4818809693679214</v>
      </c>
      <c r="E1194" s="8">
        <f t="shared" si="72"/>
        <v>169.71428571428572</v>
      </c>
      <c r="F1194" s="3"/>
      <c r="G1194" s="3"/>
      <c r="H1194" s="3"/>
    </row>
    <row r="1195" spans="1:8" ht="18.5" x14ac:dyDescent="0.45">
      <c r="A1195" s="3">
        <v>1189</v>
      </c>
      <c r="B1195" s="9">
        <f t="shared" si="73"/>
        <v>0.9997121117436808</v>
      </c>
      <c r="C1195" s="3">
        <f t="shared" si="74"/>
        <v>4440321.3155207327</v>
      </c>
      <c r="D1195" s="3">
        <f t="shared" si="75"/>
        <v>3.4701805897057056</v>
      </c>
      <c r="E1195" s="8">
        <f t="shared" si="72"/>
        <v>169.85714285714286</v>
      </c>
      <c r="F1195" s="3"/>
      <c r="G1195" s="3"/>
      <c r="H1195" s="3"/>
    </row>
    <row r="1196" spans="1:8" ht="18.5" x14ac:dyDescent="0.45">
      <c r="A1196" s="3">
        <v>1190</v>
      </c>
      <c r="B1196" s="9">
        <f t="shared" si="73"/>
        <v>0.9997128904107061</v>
      </c>
      <c r="C1196" s="3">
        <f t="shared" si="74"/>
        <v>4440324.7740481924</v>
      </c>
      <c r="D1196" s="3">
        <f t="shared" si="75"/>
        <v>3.4585274597629905</v>
      </c>
      <c r="E1196" s="8">
        <f t="shared" si="72"/>
        <v>170</v>
      </c>
      <c r="F1196" s="3"/>
      <c r="G1196" s="3"/>
      <c r="H1196" s="3"/>
    </row>
    <row r="1197" spans="1:8" ht="18.5" x14ac:dyDescent="0.45">
      <c r="A1197" s="3">
        <v>1191</v>
      </c>
      <c r="B1197" s="9">
        <f t="shared" si="73"/>
        <v>0.99971366646468596</v>
      </c>
      <c r="C1197" s="3">
        <f t="shared" si="74"/>
        <v>4440328.2209695494</v>
      </c>
      <c r="D1197" s="3">
        <f t="shared" si="75"/>
        <v>3.4469213569536805</v>
      </c>
      <c r="E1197" s="8">
        <f t="shared" si="72"/>
        <v>170.14285714285714</v>
      </c>
      <c r="F1197" s="3"/>
      <c r="G1197" s="3"/>
      <c r="H1197" s="3"/>
    </row>
    <row r="1198" spans="1:8" ht="18.5" x14ac:dyDescent="0.45">
      <c r="A1198" s="3">
        <v>1192</v>
      </c>
      <c r="B1198" s="9">
        <f t="shared" si="73"/>
        <v>0.99971443991615816</v>
      </c>
      <c r="C1198" s="3">
        <f t="shared" si="74"/>
        <v>4440331.6563316081</v>
      </c>
      <c r="D1198" s="3">
        <f t="shared" si="75"/>
        <v>3.4353620586916804</v>
      </c>
      <c r="E1198" s="8">
        <f t="shared" si="72"/>
        <v>170.28571428571428</v>
      </c>
      <c r="F1198" s="3"/>
      <c r="G1198" s="3"/>
      <c r="H1198" s="3"/>
    </row>
    <row r="1199" spans="1:8" ht="18.5" x14ac:dyDescent="0.45">
      <c r="A1199" s="3">
        <v>1193</v>
      </c>
      <c r="B1199" s="9">
        <f t="shared" si="73"/>
        <v>0.99971521077561054</v>
      </c>
      <c r="C1199" s="3">
        <f t="shared" si="74"/>
        <v>4440335.0801809514</v>
      </c>
      <c r="D1199" s="3">
        <f t="shared" si="75"/>
        <v>3.4238493433222175</v>
      </c>
      <c r="E1199" s="8">
        <f t="shared" si="72"/>
        <v>170.42857142857142</v>
      </c>
      <c r="F1199" s="3"/>
      <c r="G1199" s="3"/>
      <c r="H1199" s="3"/>
    </row>
    <row r="1200" spans="1:8" ht="18.5" x14ac:dyDescent="0.45">
      <c r="A1200" s="3">
        <v>1194</v>
      </c>
      <c r="B1200" s="9">
        <f t="shared" si="73"/>
        <v>0.99971597905348153</v>
      </c>
      <c r="C1200" s="3">
        <f t="shared" si="74"/>
        <v>4440338.4925639434</v>
      </c>
      <c r="D1200" s="3">
        <f t="shared" si="75"/>
        <v>3.4123829919844866</v>
      </c>
      <c r="E1200" s="8">
        <f t="shared" si="72"/>
        <v>170.57142857142858</v>
      </c>
      <c r="F1200" s="3"/>
      <c r="G1200" s="3"/>
      <c r="H1200" s="3"/>
    </row>
    <row r="1201" spans="1:8" ht="18.5" x14ac:dyDescent="0.45">
      <c r="A1201" s="3">
        <v>1195</v>
      </c>
      <c r="B1201" s="9">
        <f t="shared" si="73"/>
        <v>0.99971674476016004</v>
      </c>
      <c r="C1201" s="3">
        <f t="shared" si="74"/>
        <v>4440341.8935267264</v>
      </c>
      <c r="D1201" s="3">
        <f t="shared" si="75"/>
        <v>3.400962783023715</v>
      </c>
      <c r="E1201" s="8">
        <f t="shared" si="72"/>
        <v>170.71428571428572</v>
      </c>
      <c r="F1201" s="3"/>
      <c r="G1201" s="3"/>
      <c r="H1201" s="3"/>
    </row>
    <row r="1202" spans="1:8" ht="18.5" x14ac:dyDescent="0.45">
      <c r="A1202" s="3">
        <v>1196</v>
      </c>
      <c r="B1202" s="9">
        <f t="shared" si="73"/>
        <v>0.99971750790598612</v>
      </c>
      <c r="C1202" s="3">
        <f t="shared" si="74"/>
        <v>4440345.2831152277</v>
      </c>
      <c r="D1202" s="3">
        <f t="shared" si="75"/>
        <v>3.389588501304388</v>
      </c>
      <c r="E1202" s="8">
        <f t="shared" si="72"/>
        <v>170.85714285714286</v>
      </c>
      <c r="F1202" s="3"/>
      <c r="G1202" s="3"/>
      <c r="H1202" s="3"/>
    </row>
    <row r="1203" spans="1:8" ht="18.5" x14ac:dyDescent="0.45">
      <c r="A1203" s="3">
        <v>1197</v>
      </c>
      <c r="B1203" s="9">
        <f t="shared" si="73"/>
        <v>0.99971826850125112</v>
      </c>
      <c r="C1203" s="3">
        <f t="shared" si="74"/>
        <v>4440348.6613751566</v>
      </c>
      <c r="D1203" s="3">
        <f t="shared" si="75"/>
        <v>3.3782599288970232</v>
      </c>
      <c r="E1203" s="8">
        <f t="shared" si="72"/>
        <v>171</v>
      </c>
      <c r="F1203" s="3"/>
      <c r="G1203" s="3"/>
      <c r="H1203" s="3"/>
    </row>
    <row r="1204" spans="1:8" ht="18.5" x14ac:dyDescent="0.45">
      <c r="A1204" s="3">
        <v>1198</v>
      </c>
      <c r="B1204" s="9">
        <f t="shared" si="73"/>
        <v>0.99971902655619782</v>
      </c>
      <c r="C1204" s="3">
        <f t="shared" si="74"/>
        <v>4440352.0283520082</v>
      </c>
      <c r="D1204" s="3">
        <f t="shared" si="75"/>
        <v>3.3669768515974283</v>
      </c>
      <c r="E1204" s="8">
        <f t="shared" si="72"/>
        <v>171.14285714285714</v>
      </c>
      <c r="F1204" s="3"/>
      <c r="G1204" s="3"/>
      <c r="H1204" s="3"/>
    </row>
    <row r="1205" spans="1:8" ht="18.5" x14ac:dyDescent="0.45">
      <c r="A1205" s="3">
        <v>1199</v>
      </c>
      <c r="B1205" s="9">
        <f t="shared" si="73"/>
        <v>0.99971978208102064</v>
      </c>
      <c r="C1205" s="3">
        <f t="shared" si="74"/>
        <v>4440355.3840910615</v>
      </c>
      <c r="D1205" s="3">
        <f t="shared" si="75"/>
        <v>3.3557390533387661</v>
      </c>
      <c r="E1205" s="8">
        <f t="shared" si="72"/>
        <v>171.28571428571428</v>
      </c>
      <c r="F1205" s="3"/>
      <c r="G1205" s="3"/>
      <c r="H1205" s="3"/>
    </row>
    <row r="1206" spans="1:8" ht="18.5" x14ac:dyDescent="0.45">
      <c r="A1206" s="3">
        <v>1200</v>
      </c>
      <c r="B1206" s="9">
        <f t="shared" si="73"/>
        <v>0.99972053508586622</v>
      </c>
      <c r="C1206" s="3">
        <f t="shared" si="74"/>
        <v>4440358.7286373833</v>
      </c>
      <c r="D1206" s="3">
        <f t="shared" si="75"/>
        <v>3.3445463217794895</v>
      </c>
      <c r="E1206" s="8">
        <f t="shared" si="72"/>
        <v>171.42857142857142</v>
      </c>
      <c r="F1206" s="3"/>
      <c r="G1206" s="3"/>
      <c r="H1206" s="3"/>
    </row>
    <row r="1207" spans="1:8" ht="18.5" x14ac:dyDescent="0.45">
      <c r="A1207" s="3">
        <v>1201</v>
      </c>
      <c r="B1207" s="9">
        <f t="shared" si="73"/>
        <v>0.9997212855808334</v>
      </c>
      <c r="C1207" s="3">
        <f t="shared" si="74"/>
        <v>4440362.0620358298</v>
      </c>
      <c r="D1207" s="3">
        <f t="shared" si="75"/>
        <v>3.3333984464406967</v>
      </c>
      <c r="E1207" s="8">
        <f t="shared" si="72"/>
        <v>171.57142857142858</v>
      </c>
      <c r="F1207" s="3"/>
      <c r="G1207" s="3"/>
      <c r="H1207" s="3"/>
    </row>
    <row r="1208" spans="1:8" ht="18.5" x14ac:dyDescent="0.45">
      <c r="A1208" s="3">
        <v>1202</v>
      </c>
      <c r="B1208" s="9">
        <f t="shared" si="73"/>
        <v>0.99972203357597356</v>
      </c>
      <c r="C1208" s="3">
        <f t="shared" si="74"/>
        <v>4440365.3843310438</v>
      </c>
      <c r="D1208" s="3">
        <f t="shared" si="75"/>
        <v>3.3222952140495181</v>
      </c>
      <c r="E1208" s="8">
        <f t="shared" si="72"/>
        <v>171.71428571428572</v>
      </c>
      <c r="F1208" s="3"/>
      <c r="G1208" s="3"/>
      <c r="H1208" s="3"/>
    </row>
    <row r="1209" spans="1:8" ht="18.5" x14ac:dyDescent="0.45">
      <c r="A1209" s="3">
        <v>1203</v>
      </c>
      <c r="B1209" s="9">
        <f t="shared" si="73"/>
        <v>0.99972277908129081</v>
      </c>
      <c r="C1209" s="3">
        <f t="shared" si="74"/>
        <v>4440368.6955674617</v>
      </c>
      <c r="D1209" s="3">
        <f t="shared" si="75"/>
        <v>3.3112364178523421</v>
      </c>
      <c r="E1209" s="8">
        <f t="shared" si="72"/>
        <v>171.85714285714286</v>
      </c>
      <c r="F1209" s="3"/>
      <c r="G1209" s="3"/>
      <c r="H1209" s="3"/>
    </row>
    <row r="1210" spans="1:8" ht="18.5" x14ac:dyDescent="0.45">
      <c r="A1210" s="3">
        <v>1204</v>
      </c>
      <c r="B1210" s="9">
        <f t="shared" si="73"/>
        <v>0.99972352210674265</v>
      </c>
      <c r="C1210" s="3">
        <f t="shared" si="74"/>
        <v>4440371.9957893081</v>
      </c>
      <c r="D1210" s="3">
        <f t="shared" si="75"/>
        <v>3.3002218464389443</v>
      </c>
      <c r="E1210" s="8">
        <f t="shared" si="72"/>
        <v>172</v>
      </c>
      <c r="F1210" s="3"/>
      <c r="G1210" s="3"/>
      <c r="H1210" s="3"/>
    </row>
    <row r="1211" spans="1:8" ht="18.5" x14ac:dyDescent="0.45">
      <c r="A1211" s="3">
        <v>1205</v>
      </c>
      <c r="B1211" s="9">
        <f t="shared" si="73"/>
        <v>0.99972426266223946</v>
      </c>
      <c r="C1211" s="3">
        <f t="shared" si="74"/>
        <v>4440375.285040603</v>
      </c>
      <c r="D1211" s="3">
        <f t="shared" si="75"/>
        <v>3.2892512949183583</v>
      </c>
      <c r="E1211" s="8">
        <f t="shared" si="72"/>
        <v>172.14285714285714</v>
      </c>
      <c r="F1211" s="3"/>
      <c r="G1211" s="3"/>
      <c r="H1211" s="3"/>
    </row>
    <row r="1212" spans="1:8" ht="18.5" x14ac:dyDescent="0.45">
      <c r="A1212" s="3">
        <v>1206</v>
      </c>
      <c r="B1212" s="9">
        <f t="shared" si="73"/>
        <v>0.99972500075764548</v>
      </c>
      <c r="C1212" s="3">
        <f t="shared" si="74"/>
        <v>4440378.5633651577</v>
      </c>
      <c r="D1212" s="3">
        <f t="shared" si="75"/>
        <v>3.2783245546743274</v>
      </c>
      <c r="E1212" s="8">
        <f t="shared" si="72"/>
        <v>172.28571428571428</v>
      </c>
      <c r="F1212" s="3"/>
      <c r="G1212" s="3"/>
      <c r="H1212" s="3"/>
    </row>
    <row r="1213" spans="1:8" ht="18.5" x14ac:dyDescent="0.45">
      <c r="A1213" s="3">
        <v>1207</v>
      </c>
      <c r="B1213" s="9">
        <f t="shared" si="73"/>
        <v>0.99972573640277862</v>
      </c>
      <c r="C1213" s="3">
        <f t="shared" si="74"/>
        <v>4440381.8308065813</v>
      </c>
      <c r="D1213" s="3">
        <f t="shared" si="75"/>
        <v>3.2674414236098528</v>
      </c>
      <c r="E1213" s="8">
        <f t="shared" si="72"/>
        <v>172.42857142857142</v>
      </c>
      <c r="F1213" s="3"/>
      <c r="G1213" s="3"/>
      <c r="H1213" s="3"/>
    </row>
    <row r="1214" spans="1:8" ht="18.5" x14ac:dyDescent="0.45">
      <c r="A1214" s="3">
        <v>1208</v>
      </c>
      <c r="B1214" s="9">
        <f t="shared" si="73"/>
        <v>0.99972646960741074</v>
      </c>
      <c r="C1214" s="3">
        <f t="shared" si="74"/>
        <v>4440385.0874082753</v>
      </c>
      <c r="D1214" s="3">
        <f t="shared" si="75"/>
        <v>3.2566016940400004</v>
      </c>
      <c r="E1214" s="8">
        <f t="shared" si="72"/>
        <v>172.57142857142858</v>
      </c>
      <c r="F1214" s="3"/>
      <c r="G1214" s="3"/>
      <c r="H1214" s="3"/>
    </row>
    <row r="1215" spans="1:8" ht="18.5" x14ac:dyDescent="0.45">
      <c r="A1215" s="3">
        <v>1209</v>
      </c>
      <c r="B1215" s="9">
        <f t="shared" si="73"/>
        <v>0.99972720038126839</v>
      </c>
      <c r="C1215" s="3">
        <f t="shared" si="74"/>
        <v>4440388.333213442</v>
      </c>
      <c r="D1215" s="3">
        <f t="shared" si="75"/>
        <v>3.2458051666617393</v>
      </c>
      <c r="E1215" s="8">
        <f t="shared" si="72"/>
        <v>172.71428571428572</v>
      </c>
      <c r="F1215" s="3"/>
      <c r="G1215" s="3"/>
      <c r="H1215" s="3"/>
    </row>
    <row r="1216" spans="1:8" ht="18.5" x14ac:dyDescent="0.45">
      <c r="A1216" s="3">
        <v>1210</v>
      </c>
      <c r="B1216" s="9">
        <f t="shared" si="73"/>
        <v>0.99972792873403238</v>
      </c>
      <c r="C1216" s="3">
        <f t="shared" si="74"/>
        <v>4440391.5682650786</v>
      </c>
      <c r="D1216" s="3">
        <f t="shared" si="75"/>
        <v>3.2350516365841031</v>
      </c>
      <c r="E1216" s="8">
        <f t="shared" si="72"/>
        <v>172.85714285714286</v>
      </c>
      <c r="F1216" s="3"/>
      <c r="G1216" s="3"/>
      <c r="H1216" s="3"/>
    </row>
    <row r="1217" spans="1:8" ht="18.5" x14ac:dyDescent="0.45">
      <c r="A1217" s="3">
        <v>1211</v>
      </c>
      <c r="B1217" s="9">
        <f t="shared" si="73"/>
        <v>0.99972865467533822</v>
      </c>
      <c r="C1217" s="3">
        <f t="shared" si="74"/>
        <v>4440394.7926059822</v>
      </c>
      <c r="D1217" s="3">
        <f t="shared" si="75"/>
        <v>3.2243409035727382</v>
      </c>
      <c r="E1217" s="8">
        <f t="shared" si="72"/>
        <v>173</v>
      </c>
      <c r="F1217" s="3"/>
      <c r="G1217" s="3"/>
      <c r="H1217" s="3"/>
    </row>
    <row r="1218" spans="1:8" ht="18.5" x14ac:dyDescent="0.45">
      <c r="A1218" s="3">
        <v>1212</v>
      </c>
      <c r="B1218" s="9">
        <f t="shared" si="73"/>
        <v>0.99972937821477692</v>
      </c>
      <c r="C1218" s="3">
        <f t="shared" si="74"/>
        <v>4440398.0062787533</v>
      </c>
      <c r="D1218" s="3">
        <f t="shared" si="75"/>
        <v>3.2136727711185813</v>
      </c>
      <c r="E1218" s="8">
        <f t="shared" si="72"/>
        <v>173.14285714285714</v>
      </c>
      <c r="F1218" s="3"/>
      <c r="G1218" s="3"/>
      <c r="H1218" s="3"/>
    </row>
    <row r="1219" spans="1:8" ht="18.5" x14ac:dyDescent="0.45">
      <c r="A1219" s="3">
        <v>1213</v>
      </c>
      <c r="B1219" s="9">
        <f t="shared" si="73"/>
        <v>0.99973009936189416</v>
      </c>
      <c r="C1219" s="3">
        <f t="shared" si="74"/>
        <v>4440401.2093257895</v>
      </c>
      <c r="D1219" s="3">
        <f t="shared" si="75"/>
        <v>3.2030470361933112</v>
      </c>
      <c r="E1219" s="8">
        <f t="shared" si="72"/>
        <v>173.28571428571428</v>
      </c>
      <c r="F1219" s="3"/>
      <c r="G1219" s="3"/>
      <c r="H1219" s="3"/>
    </row>
    <row r="1220" spans="1:8" ht="18.5" x14ac:dyDescent="0.45">
      <c r="A1220" s="3">
        <v>1214</v>
      </c>
      <c r="B1220" s="9">
        <f t="shared" si="73"/>
        <v>0.99973081812619169</v>
      </c>
      <c r="C1220" s="3">
        <f t="shared" si="74"/>
        <v>4440404.4017892927</v>
      </c>
      <c r="D1220" s="3">
        <f t="shared" si="75"/>
        <v>3.1924635032191873</v>
      </c>
      <c r="E1220" s="8">
        <f t="shared" si="72"/>
        <v>173.42857142857142</v>
      </c>
      <c r="F1220" s="3"/>
      <c r="G1220" s="3"/>
      <c r="H1220" s="3"/>
    </row>
    <row r="1221" spans="1:8" ht="18.5" x14ac:dyDescent="0.45">
      <c r="A1221" s="3">
        <v>1215</v>
      </c>
      <c r="B1221" s="9">
        <f t="shared" si="73"/>
        <v>0.9997315345171266</v>
      </c>
      <c r="C1221" s="3">
        <f t="shared" si="74"/>
        <v>4440407.5837112693</v>
      </c>
      <c r="D1221" s="3">
        <f t="shared" si="75"/>
        <v>3.1819219766184688</v>
      </c>
      <c r="E1221" s="8">
        <f t="shared" si="72"/>
        <v>173.57142857142858</v>
      </c>
      <c r="F1221" s="3"/>
      <c r="G1221" s="3"/>
      <c r="H1221" s="3"/>
    </row>
    <row r="1222" spans="1:8" ht="18.5" x14ac:dyDescent="0.45">
      <c r="A1222" s="3">
        <v>1216</v>
      </c>
      <c r="B1222" s="9">
        <f t="shared" si="73"/>
        <v>0.99973224854411236</v>
      </c>
      <c r="C1222" s="3">
        <f t="shared" si="74"/>
        <v>4440410.7551335292</v>
      </c>
      <c r="D1222" s="3">
        <f t="shared" si="75"/>
        <v>3.1714222598820925</v>
      </c>
      <c r="E1222" s="8">
        <f t="shared" si="72"/>
        <v>173.71428571428572</v>
      </c>
    </row>
    <row r="1223" spans="1:8" ht="18.5" x14ac:dyDescent="0.45">
      <c r="A1223" s="3">
        <v>1217</v>
      </c>
      <c r="B1223" s="9">
        <f t="shared" si="73"/>
        <v>0.99973296021651836</v>
      </c>
      <c r="C1223" s="3">
        <f t="shared" si="74"/>
        <v>4440413.9160976876</v>
      </c>
      <c r="D1223" s="3">
        <f t="shared" si="75"/>
        <v>3.1609641583636403</v>
      </c>
      <c r="E1223" s="8">
        <f t="shared" ref="E1223:E1286" si="76">A1223/7</f>
        <v>173.85714285714286</v>
      </c>
    </row>
    <row r="1224" spans="1:8" ht="18.5" x14ac:dyDescent="0.45">
      <c r="A1224" s="3">
        <v>1218</v>
      </c>
      <c r="B1224" s="9">
        <f t="shared" ref="B1224:B1287" si="77">LOGNORMDIST(A1224,$A$3,$B$3)</f>
        <v>0.99973366954367071</v>
      </c>
      <c r="C1224" s="3">
        <f t="shared" ref="C1224:C1287" si="78">$E$3*B1224</f>
        <v>4440417.0666451678</v>
      </c>
      <c r="D1224" s="3">
        <f t="shared" ref="D1224:D1287" si="79">C1224-C1223</f>
        <v>3.1505474802106619</v>
      </c>
      <c r="E1224" s="8">
        <f t="shared" si="76"/>
        <v>174</v>
      </c>
    </row>
    <row r="1225" spans="1:8" ht="18.5" x14ac:dyDescent="0.45">
      <c r="A1225" s="3">
        <v>1219</v>
      </c>
      <c r="B1225" s="9">
        <f t="shared" si="77"/>
        <v>0.99973437653485198</v>
      </c>
      <c r="C1225" s="3">
        <f t="shared" si="78"/>
        <v>4440420.2068171985</v>
      </c>
      <c r="D1225" s="3">
        <f t="shared" si="79"/>
        <v>3.1401720307767391</v>
      </c>
      <c r="E1225" s="8">
        <f t="shared" si="76"/>
        <v>174.14285714285714</v>
      </c>
    </row>
    <row r="1226" spans="1:8" ht="18.5" x14ac:dyDescent="0.45">
      <c r="A1226" s="3">
        <v>1220</v>
      </c>
      <c r="B1226" s="9">
        <f t="shared" si="77"/>
        <v>0.99973508119930177</v>
      </c>
      <c r="C1226" s="3">
        <f t="shared" si="78"/>
        <v>4440423.3366548186</v>
      </c>
      <c r="D1226" s="3">
        <f t="shared" si="79"/>
        <v>3.1298376200720668</v>
      </c>
      <c r="E1226" s="8">
        <f t="shared" si="76"/>
        <v>174.28571428571428</v>
      </c>
    </row>
    <row r="1227" spans="1:8" ht="18.5" x14ac:dyDescent="0.45">
      <c r="A1227" s="3">
        <v>1221</v>
      </c>
      <c r="B1227" s="9">
        <f t="shared" si="77"/>
        <v>0.99973578354621684</v>
      </c>
      <c r="C1227" s="3">
        <f t="shared" si="78"/>
        <v>4440426.4561988767</v>
      </c>
      <c r="D1227" s="3">
        <f t="shared" si="79"/>
        <v>3.1195440581068397</v>
      </c>
      <c r="E1227" s="8">
        <f t="shared" si="76"/>
        <v>174.42857142857142</v>
      </c>
    </row>
    <row r="1228" spans="1:8" ht="18.5" x14ac:dyDescent="0.45">
      <c r="A1228" s="3">
        <v>1222</v>
      </c>
      <c r="B1228" s="9">
        <f t="shared" si="77"/>
        <v>0.99973648358475142</v>
      </c>
      <c r="C1228" s="3">
        <f t="shared" si="78"/>
        <v>4440429.5654900316</v>
      </c>
      <c r="D1228" s="3">
        <f t="shared" si="79"/>
        <v>3.1092911548912525</v>
      </c>
      <c r="E1228" s="8">
        <f t="shared" si="76"/>
        <v>174.57142857142858</v>
      </c>
    </row>
    <row r="1229" spans="1:8" ht="18.5" x14ac:dyDescent="0.45">
      <c r="A1229" s="3">
        <v>1223</v>
      </c>
      <c r="B1229" s="9">
        <f t="shared" si="77"/>
        <v>0.99973718132401734</v>
      </c>
      <c r="C1229" s="3">
        <f t="shared" si="78"/>
        <v>4440432.6645687558</v>
      </c>
      <c r="D1229" s="3">
        <f t="shared" si="79"/>
        <v>3.0990787241607904</v>
      </c>
      <c r="E1229" s="8">
        <f t="shared" si="76"/>
        <v>174.71428571428572</v>
      </c>
    </row>
    <row r="1230" spans="1:8" ht="18.5" x14ac:dyDescent="0.45">
      <c r="A1230" s="3">
        <v>1224</v>
      </c>
      <c r="B1230" s="9">
        <f t="shared" si="77"/>
        <v>0.99973787677308412</v>
      </c>
      <c r="C1230" s="3">
        <f t="shared" si="78"/>
        <v>4440435.7534753308</v>
      </c>
      <c r="D1230" s="3">
        <f t="shared" si="79"/>
        <v>3.0889065749943256</v>
      </c>
      <c r="E1230" s="8">
        <f t="shared" si="76"/>
        <v>174.85714285714286</v>
      </c>
    </row>
    <row r="1231" spans="1:8" ht="18.5" x14ac:dyDescent="0.45">
      <c r="A1231" s="3">
        <v>1225</v>
      </c>
      <c r="B1231" s="9">
        <f t="shared" si="77"/>
        <v>0.99973856994097943</v>
      </c>
      <c r="C1231" s="3">
        <f t="shared" si="78"/>
        <v>4440438.8322498538</v>
      </c>
      <c r="D1231" s="3">
        <f t="shared" si="79"/>
        <v>3.0787745229899883</v>
      </c>
      <c r="E1231" s="8">
        <f t="shared" si="76"/>
        <v>175</v>
      </c>
    </row>
    <row r="1232" spans="1:8" ht="18.5" x14ac:dyDescent="0.45">
      <c r="A1232" s="3">
        <v>1226</v>
      </c>
      <c r="B1232" s="9">
        <f t="shared" si="77"/>
        <v>0.9997392608366894</v>
      </c>
      <c r="C1232" s="3">
        <f t="shared" si="78"/>
        <v>4440441.9009322394</v>
      </c>
      <c r="D1232" s="3">
        <f t="shared" si="79"/>
        <v>3.0686823856085539</v>
      </c>
      <c r="E1232" s="8">
        <f t="shared" si="76"/>
        <v>175.14285714285714</v>
      </c>
    </row>
    <row r="1233" spans="1:5" ht="18.5" x14ac:dyDescent="0.45">
      <c r="A1233" s="3">
        <v>1227</v>
      </c>
      <c r="B1233" s="9">
        <f t="shared" si="77"/>
        <v>0.99973994946915845</v>
      </c>
      <c r="C1233" s="3">
        <f t="shared" si="78"/>
        <v>4440444.9595622141</v>
      </c>
      <c r="D1233" s="3">
        <f t="shared" si="79"/>
        <v>3.0586299747228622</v>
      </c>
      <c r="E1233" s="8">
        <f t="shared" si="76"/>
        <v>175.28571428571428</v>
      </c>
    </row>
    <row r="1234" spans="1:5" ht="18.5" x14ac:dyDescent="0.45">
      <c r="A1234" s="3">
        <v>1228</v>
      </c>
      <c r="B1234" s="9">
        <f t="shared" si="77"/>
        <v>0.99974063584728967</v>
      </c>
      <c r="C1234" s="3">
        <f t="shared" si="78"/>
        <v>4440448.0081793219</v>
      </c>
      <c r="D1234" s="3">
        <f t="shared" si="79"/>
        <v>3.0486171077936888</v>
      </c>
      <c r="E1234" s="8">
        <f t="shared" si="76"/>
        <v>175.42857142857142</v>
      </c>
    </row>
    <row r="1235" spans="1:5" ht="18.5" x14ac:dyDescent="0.45">
      <c r="A1235" s="3">
        <v>1229</v>
      </c>
      <c r="B1235" s="9">
        <f t="shared" si="77"/>
        <v>0.99974131997994542</v>
      </c>
      <c r="C1235" s="3">
        <f t="shared" si="78"/>
        <v>4440451.046822926</v>
      </c>
      <c r="D1235" s="3">
        <f t="shared" si="79"/>
        <v>3.038643604144454</v>
      </c>
      <c r="E1235" s="8">
        <f t="shared" si="76"/>
        <v>175.57142857142858</v>
      </c>
    </row>
    <row r="1236" spans="1:5" ht="18.5" x14ac:dyDescent="0.45">
      <c r="A1236" s="3">
        <v>1230</v>
      </c>
      <c r="B1236" s="9">
        <f t="shared" si="77"/>
        <v>0.99974200187594686</v>
      </c>
      <c r="C1236" s="3">
        <f t="shared" si="78"/>
        <v>4440454.0755322054</v>
      </c>
      <c r="D1236" s="3">
        <f t="shared" si="79"/>
        <v>3.0287092793732882</v>
      </c>
      <c r="E1236" s="8">
        <f t="shared" si="76"/>
        <v>175.71428571428572</v>
      </c>
    </row>
    <row r="1237" spans="1:5" ht="18.5" x14ac:dyDescent="0.45">
      <c r="A1237" s="3">
        <v>1231</v>
      </c>
      <c r="B1237" s="9">
        <f t="shared" si="77"/>
        <v>0.99974268154407486</v>
      </c>
      <c r="C1237" s="3">
        <f t="shared" si="78"/>
        <v>4440457.0943461629</v>
      </c>
      <c r="D1237" s="3">
        <f t="shared" si="79"/>
        <v>3.0188139574602246</v>
      </c>
      <c r="E1237" s="8">
        <f t="shared" si="76"/>
        <v>175.85714285714286</v>
      </c>
    </row>
    <row r="1238" spans="1:5" ht="18.5" x14ac:dyDescent="0.45">
      <c r="A1238" s="3">
        <v>1232</v>
      </c>
      <c r="B1238" s="9">
        <f t="shared" si="77"/>
        <v>0.99974335899306976</v>
      </c>
      <c r="C1238" s="3">
        <f t="shared" si="78"/>
        <v>4440460.1033036187</v>
      </c>
      <c r="D1238" s="3">
        <f t="shared" si="79"/>
        <v>3.0089574558660388</v>
      </c>
      <c r="E1238" s="8">
        <f t="shared" si="76"/>
        <v>176</v>
      </c>
    </row>
    <row r="1239" spans="1:5" ht="18.5" x14ac:dyDescent="0.45">
      <c r="A1239" s="3">
        <v>1233</v>
      </c>
      <c r="B1239" s="9">
        <f t="shared" si="77"/>
        <v>0.99974403423163161</v>
      </c>
      <c r="C1239" s="3">
        <f t="shared" si="78"/>
        <v>4440463.1024432145</v>
      </c>
      <c r="D1239" s="3">
        <f t="shared" si="79"/>
        <v>2.9991395957767963</v>
      </c>
      <c r="E1239" s="8">
        <f t="shared" si="76"/>
        <v>176.14285714285714</v>
      </c>
    </row>
    <row r="1240" spans="1:5" ht="18.5" x14ac:dyDescent="0.45">
      <c r="A1240" s="3">
        <v>1234</v>
      </c>
      <c r="B1240" s="9">
        <f t="shared" si="77"/>
        <v>0.99974470726842057</v>
      </c>
      <c r="C1240" s="3">
        <f t="shared" si="78"/>
        <v>4440466.0918034166</v>
      </c>
      <c r="D1240" s="3">
        <f t="shared" si="79"/>
        <v>2.9893602021038532</v>
      </c>
      <c r="E1240" s="8">
        <f t="shared" si="76"/>
        <v>176.28571428571428</v>
      </c>
    </row>
    <row r="1241" spans="1:5" ht="18.5" x14ac:dyDescent="0.45">
      <c r="A1241" s="3">
        <v>1235</v>
      </c>
      <c r="B1241" s="9">
        <f t="shared" si="77"/>
        <v>0.9997453781120571</v>
      </c>
      <c r="C1241" s="3">
        <f t="shared" si="78"/>
        <v>4440469.0714225126</v>
      </c>
      <c r="D1241" s="3">
        <f t="shared" si="79"/>
        <v>2.9796190960332751</v>
      </c>
      <c r="E1241" s="8">
        <f t="shared" si="76"/>
        <v>176.42857142857142</v>
      </c>
    </row>
    <row r="1242" spans="1:5" ht="18.5" x14ac:dyDescent="0.45">
      <c r="A1242" s="3">
        <v>1236</v>
      </c>
      <c r="B1242" s="9">
        <f t="shared" si="77"/>
        <v>0.999746046771122</v>
      </c>
      <c r="C1242" s="3">
        <f t="shared" si="78"/>
        <v>4440472.0413386151</v>
      </c>
      <c r="D1242" s="3">
        <f t="shared" si="79"/>
        <v>2.969916102476418</v>
      </c>
      <c r="E1242" s="8">
        <f t="shared" si="76"/>
        <v>176.57142857142858</v>
      </c>
    </row>
    <row r="1243" spans="1:5" ht="18.5" x14ac:dyDescent="0.45">
      <c r="A1243" s="3">
        <v>1237</v>
      </c>
      <c r="B1243" s="9">
        <f t="shared" si="77"/>
        <v>0.99974671325415676</v>
      </c>
      <c r="C1243" s="3">
        <f t="shared" si="78"/>
        <v>4440475.0015896624</v>
      </c>
      <c r="D1243" s="3">
        <f t="shared" si="79"/>
        <v>2.9602510472759604</v>
      </c>
      <c r="E1243" s="8">
        <f t="shared" si="76"/>
        <v>176.71428571428572</v>
      </c>
    </row>
    <row r="1244" spans="1:5" ht="18.5" x14ac:dyDescent="0.45">
      <c r="A1244" s="3">
        <v>1238</v>
      </c>
      <c r="B1244" s="9">
        <f t="shared" si="77"/>
        <v>0.99974737756966392</v>
      </c>
      <c r="C1244" s="3">
        <f t="shared" si="78"/>
        <v>4440477.9522134196</v>
      </c>
      <c r="D1244" s="3">
        <f t="shared" si="79"/>
        <v>2.9506237572059035</v>
      </c>
      <c r="E1244" s="8">
        <f t="shared" si="76"/>
        <v>176.85714285714286</v>
      </c>
    </row>
    <row r="1245" spans="1:5" ht="18.5" x14ac:dyDescent="0.45">
      <c r="A1245" s="3">
        <v>1239</v>
      </c>
      <c r="B1245" s="9">
        <f t="shared" si="77"/>
        <v>0.9997480397261066</v>
      </c>
      <c r="C1245" s="3">
        <f t="shared" si="78"/>
        <v>4440480.8932474749</v>
      </c>
      <c r="D1245" s="3">
        <f t="shared" si="79"/>
        <v>2.9410340553149581</v>
      </c>
      <c r="E1245" s="8">
        <f t="shared" si="76"/>
        <v>177</v>
      </c>
    </row>
    <row r="1246" spans="1:5" ht="18.5" x14ac:dyDescent="0.45">
      <c r="A1246" s="3">
        <v>1240</v>
      </c>
      <c r="B1246" s="9">
        <f t="shared" si="77"/>
        <v>0.99974869973190983</v>
      </c>
      <c r="C1246" s="3">
        <f t="shared" si="78"/>
        <v>4440483.8247292507</v>
      </c>
      <c r="D1246" s="3">
        <f t="shared" si="79"/>
        <v>2.9314817758277059</v>
      </c>
      <c r="E1246" s="8">
        <f t="shared" si="76"/>
        <v>177.14285714285714</v>
      </c>
    </row>
    <row r="1247" spans="1:5" ht="18.5" x14ac:dyDescent="0.45">
      <c r="A1247" s="3">
        <v>1241</v>
      </c>
      <c r="B1247" s="9">
        <f t="shared" si="77"/>
        <v>0.99974935759545958</v>
      </c>
      <c r="C1247" s="3">
        <f t="shared" si="78"/>
        <v>4440486.7466959935</v>
      </c>
      <c r="D1247" s="3">
        <f t="shared" si="79"/>
        <v>2.9219667427241802</v>
      </c>
      <c r="E1247" s="8">
        <f t="shared" si="76"/>
        <v>177.28571428571428</v>
      </c>
    </row>
    <row r="1248" spans="1:5" ht="18.5" x14ac:dyDescent="0.45">
      <c r="A1248" s="3">
        <v>1242</v>
      </c>
      <c r="B1248" s="9">
        <f t="shared" si="77"/>
        <v>0.99975001332510371</v>
      </c>
      <c r="C1248" s="3">
        <f t="shared" si="78"/>
        <v>4440489.6591847809</v>
      </c>
      <c r="D1248" s="3">
        <f t="shared" si="79"/>
        <v>2.9124887874349952</v>
      </c>
      <c r="E1248" s="8">
        <f t="shared" si="76"/>
        <v>177.42857142857142</v>
      </c>
    </row>
    <row r="1249" spans="1:5" ht="18.5" x14ac:dyDescent="0.45">
      <c r="A1249" s="3">
        <v>1243</v>
      </c>
      <c r="B1249" s="9">
        <f t="shared" si="77"/>
        <v>0.99975066692915215</v>
      </c>
      <c r="C1249" s="3">
        <f t="shared" si="78"/>
        <v>4440492.5622325223</v>
      </c>
      <c r="D1249" s="3">
        <f t="shared" si="79"/>
        <v>2.9030477413907647</v>
      </c>
      <c r="E1249" s="8">
        <f t="shared" si="76"/>
        <v>177.57142857142858</v>
      </c>
    </row>
    <row r="1250" spans="1:5" ht="18.5" x14ac:dyDescent="0.45">
      <c r="A1250" s="3">
        <v>1244</v>
      </c>
      <c r="B1250" s="9">
        <f t="shared" si="77"/>
        <v>0.99975131841587661</v>
      </c>
      <c r="C1250" s="3">
        <f t="shared" si="78"/>
        <v>4440495.4558759574</v>
      </c>
      <c r="D1250" s="3">
        <f t="shared" si="79"/>
        <v>2.8936434350907803</v>
      </c>
      <c r="E1250" s="8">
        <f t="shared" si="76"/>
        <v>177.71428571428572</v>
      </c>
    </row>
    <row r="1251" spans="1:5" ht="18.5" x14ac:dyDescent="0.45">
      <c r="A1251" s="3">
        <v>1245</v>
      </c>
      <c r="B1251" s="9">
        <f t="shared" si="77"/>
        <v>0.99975196779351116</v>
      </c>
      <c r="C1251" s="3">
        <f t="shared" si="78"/>
        <v>4440498.3401516592</v>
      </c>
      <c r="D1251" s="3">
        <f t="shared" si="79"/>
        <v>2.884275701828301</v>
      </c>
      <c r="E1251" s="8">
        <f t="shared" si="76"/>
        <v>177.85714285714286</v>
      </c>
    </row>
    <row r="1252" spans="1:5" ht="18.5" x14ac:dyDescent="0.45">
      <c r="A1252" s="3">
        <v>1246</v>
      </c>
      <c r="B1252" s="9">
        <f t="shared" si="77"/>
        <v>0.99975261507025248</v>
      </c>
      <c r="C1252" s="3">
        <f t="shared" si="78"/>
        <v>4440501.2150960332</v>
      </c>
      <c r="D1252" s="3">
        <f t="shared" si="79"/>
        <v>2.8749443739652634</v>
      </c>
      <c r="E1252" s="8">
        <f t="shared" si="76"/>
        <v>178</v>
      </c>
    </row>
    <row r="1253" spans="1:5" ht="18.5" x14ac:dyDescent="0.45">
      <c r="A1253" s="3">
        <v>1247</v>
      </c>
      <c r="B1253" s="9">
        <f t="shared" si="77"/>
        <v>0.99975326025425981</v>
      </c>
      <c r="C1253" s="3">
        <f t="shared" si="78"/>
        <v>4440504.0807453208</v>
      </c>
      <c r="D1253" s="3">
        <f t="shared" si="79"/>
        <v>2.8656492875888944</v>
      </c>
      <c r="E1253" s="8">
        <f t="shared" si="76"/>
        <v>178.14285714285714</v>
      </c>
    </row>
    <row r="1254" spans="1:5" ht="18.5" x14ac:dyDescent="0.45">
      <c r="A1254" s="3">
        <v>1248</v>
      </c>
      <c r="B1254" s="9">
        <f t="shared" si="77"/>
        <v>0.99975390335365522</v>
      </c>
      <c r="C1254" s="3">
        <f t="shared" si="78"/>
        <v>4440506.9371355949</v>
      </c>
      <c r="D1254" s="3">
        <f t="shared" si="79"/>
        <v>2.8563902741298079</v>
      </c>
      <c r="E1254" s="8">
        <f t="shared" si="76"/>
        <v>178.28571428571428</v>
      </c>
    </row>
    <row r="1255" spans="1:5" ht="18.5" x14ac:dyDescent="0.45">
      <c r="A1255" s="3">
        <v>1249</v>
      </c>
      <c r="B1255" s="9">
        <f t="shared" si="77"/>
        <v>0.999754544376524</v>
      </c>
      <c r="C1255" s="3">
        <f t="shared" si="78"/>
        <v>4440509.7843027692</v>
      </c>
      <c r="D1255" s="3">
        <f t="shared" si="79"/>
        <v>2.8471671743318439</v>
      </c>
      <c r="E1255" s="8">
        <f t="shared" si="76"/>
        <v>178.42857142857142</v>
      </c>
    </row>
    <row r="1256" spans="1:5" ht="18.5" x14ac:dyDescent="0.45">
      <c r="A1256" s="3">
        <v>1250</v>
      </c>
      <c r="B1256" s="9">
        <f t="shared" si="77"/>
        <v>0.99975518333091462</v>
      </c>
      <c r="C1256" s="3">
        <f t="shared" si="78"/>
        <v>4440512.6222825907</v>
      </c>
      <c r="D1256" s="3">
        <f t="shared" si="79"/>
        <v>2.8379798214882612</v>
      </c>
      <c r="E1256" s="8">
        <f t="shared" si="76"/>
        <v>178.57142857142858</v>
      </c>
    </row>
    <row r="1257" spans="1:5" ht="18.5" x14ac:dyDescent="0.45">
      <c r="A1257" s="3">
        <v>1251</v>
      </c>
      <c r="B1257" s="9">
        <f t="shared" si="77"/>
        <v>0.99975582022483889</v>
      </c>
      <c r="C1257" s="3">
        <f t="shared" si="78"/>
        <v>4440515.4511106443</v>
      </c>
      <c r="D1257" s="3">
        <f t="shared" si="79"/>
        <v>2.8288280535489321</v>
      </c>
      <c r="E1257" s="8">
        <f t="shared" si="76"/>
        <v>178.71428571428572</v>
      </c>
    </row>
    <row r="1258" spans="1:5" ht="18.5" x14ac:dyDescent="0.45">
      <c r="A1258" s="3">
        <v>1252</v>
      </c>
      <c r="B1258" s="9">
        <f t="shared" si="77"/>
        <v>0.99975645506627242</v>
      </c>
      <c r="C1258" s="3">
        <f t="shared" si="78"/>
        <v>4440518.2708223555</v>
      </c>
      <c r="D1258" s="3">
        <f t="shared" si="79"/>
        <v>2.8197117112576962</v>
      </c>
      <c r="E1258" s="8">
        <f t="shared" si="76"/>
        <v>178.85714285714286</v>
      </c>
    </row>
    <row r="1259" spans="1:5" ht="18.5" x14ac:dyDescent="0.45">
      <c r="A1259" s="3">
        <v>1253</v>
      </c>
      <c r="B1259" s="9">
        <f t="shared" si="77"/>
        <v>0.99975708786315454</v>
      </c>
      <c r="C1259" s="3">
        <f t="shared" si="78"/>
        <v>4440521.0814529872</v>
      </c>
      <c r="D1259" s="3">
        <f t="shared" si="79"/>
        <v>2.8106306316331029</v>
      </c>
      <c r="E1259" s="8">
        <f t="shared" si="76"/>
        <v>179</v>
      </c>
    </row>
    <row r="1260" spans="1:5" ht="18.5" x14ac:dyDescent="0.45">
      <c r="A1260" s="3">
        <v>1254</v>
      </c>
      <c r="B1260" s="9">
        <f t="shared" si="77"/>
        <v>0.99975771862338869</v>
      </c>
      <c r="C1260" s="3">
        <f t="shared" si="78"/>
        <v>4440523.8830376435</v>
      </c>
      <c r="D1260" s="3">
        <f t="shared" si="79"/>
        <v>2.8015846563503146</v>
      </c>
      <c r="E1260" s="8">
        <f t="shared" si="76"/>
        <v>179.14285714285714</v>
      </c>
    </row>
    <row r="1261" spans="1:5" ht="18.5" x14ac:dyDescent="0.45">
      <c r="A1261" s="3">
        <v>1255</v>
      </c>
      <c r="B1261" s="9">
        <f t="shared" si="77"/>
        <v>0.99975834735484248</v>
      </c>
      <c r="C1261" s="3">
        <f t="shared" si="78"/>
        <v>4440526.6756112687</v>
      </c>
      <c r="D1261" s="3">
        <f t="shared" si="79"/>
        <v>2.7925736252218485</v>
      </c>
      <c r="E1261" s="8">
        <f t="shared" si="76"/>
        <v>179.28571428571428</v>
      </c>
    </row>
    <row r="1262" spans="1:5" ht="18.5" x14ac:dyDescent="0.45">
      <c r="A1262" s="3">
        <v>1256</v>
      </c>
      <c r="B1262" s="9">
        <f t="shared" si="77"/>
        <v>0.99975897406534786</v>
      </c>
      <c r="C1262" s="3">
        <f t="shared" si="78"/>
        <v>4440529.4592086487</v>
      </c>
      <c r="D1262" s="3">
        <f t="shared" si="79"/>
        <v>2.7835973799228668</v>
      </c>
      <c r="E1262" s="8">
        <f t="shared" si="76"/>
        <v>179.42857142857142</v>
      </c>
    </row>
    <row r="1263" spans="1:5" ht="18.5" x14ac:dyDescent="0.45">
      <c r="A1263" s="3">
        <v>1257</v>
      </c>
      <c r="B1263" s="9">
        <f t="shared" si="77"/>
        <v>0.99975959876270148</v>
      </c>
      <c r="C1263" s="3">
        <f t="shared" si="78"/>
        <v>4440532.2338644145</v>
      </c>
      <c r="D1263" s="3">
        <f t="shared" si="79"/>
        <v>2.7746557658538222</v>
      </c>
      <c r="E1263" s="8">
        <f t="shared" si="76"/>
        <v>179.57142857142858</v>
      </c>
    </row>
    <row r="1264" spans="1:5" ht="18.5" x14ac:dyDescent="0.45">
      <c r="A1264" s="3">
        <v>1258</v>
      </c>
      <c r="B1264" s="9">
        <f t="shared" si="77"/>
        <v>0.99976022145466459</v>
      </c>
      <c r="C1264" s="3">
        <f t="shared" si="78"/>
        <v>4440534.9996130383</v>
      </c>
      <c r="D1264" s="3">
        <f t="shared" si="79"/>
        <v>2.7657486237585545</v>
      </c>
      <c r="E1264" s="8">
        <f t="shared" si="76"/>
        <v>179.71428571428572</v>
      </c>
    </row>
    <row r="1265" spans="1:5" ht="18.5" x14ac:dyDescent="0.45">
      <c r="A1265" s="3">
        <v>1259</v>
      </c>
      <c r="B1265" s="9">
        <f t="shared" si="77"/>
        <v>0.99976084214896344</v>
      </c>
      <c r="C1265" s="3">
        <f t="shared" si="78"/>
        <v>4440537.7564888364</v>
      </c>
      <c r="D1265" s="3">
        <f t="shared" si="79"/>
        <v>2.7568757981061935</v>
      </c>
      <c r="E1265" s="8">
        <f t="shared" si="76"/>
        <v>179.85714285714286</v>
      </c>
    </row>
    <row r="1266" spans="1:5" ht="18.5" x14ac:dyDescent="0.45">
      <c r="A1266" s="3">
        <v>1260</v>
      </c>
      <c r="B1266" s="9">
        <f t="shared" si="77"/>
        <v>0.99976146085328954</v>
      </c>
      <c r="C1266" s="3">
        <f t="shared" si="78"/>
        <v>4440540.5045259707</v>
      </c>
      <c r="D1266" s="3">
        <f t="shared" si="79"/>
        <v>2.7480371342971921</v>
      </c>
      <c r="E1266" s="8">
        <f t="shared" si="76"/>
        <v>180</v>
      </c>
    </row>
    <row r="1267" spans="1:5" ht="18.5" x14ac:dyDescent="0.45">
      <c r="A1267" s="3">
        <v>1261</v>
      </c>
      <c r="B1267" s="9">
        <f t="shared" si="77"/>
        <v>0.99976207757529967</v>
      </c>
      <c r="C1267" s="3">
        <f t="shared" si="78"/>
        <v>4440543.2437584512</v>
      </c>
      <c r="D1267" s="3">
        <f t="shared" si="79"/>
        <v>2.7392324805259705</v>
      </c>
      <c r="E1267" s="8">
        <f t="shared" si="76"/>
        <v>180.14285714285714</v>
      </c>
    </row>
    <row r="1268" spans="1:5" ht="18.5" x14ac:dyDescent="0.45">
      <c r="A1268" s="3">
        <v>1262</v>
      </c>
      <c r="B1268" s="9">
        <f t="shared" si="77"/>
        <v>0.99976269232261583</v>
      </c>
      <c r="C1268" s="3">
        <f t="shared" si="78"/>
        <v>4440545.9742201306</v>
      </c>
      <c r="D1268" s="3">
        <f t="shared" si="79"/>
        <v>2.7304616793990135</v>
      </c>
      <c r="E1268" s="8">
        <f t="shared" si="76"/>
        <v>180.28571428571428</v>
      </c>
    </row>
    <row r="1269" spans="1:5" ht="18.5" x14ac:dyDescent="0.45">
      <c r="A1269" s="3">
        <v>1263</v>
      </c>
      <c r="B1269" s="9">
        <f t="shared" si="77"/>
        <v>0.99976330510282607</v>
      </c>
      <c r="C1269" s="3">
        <f t="shared" si="78"/>
        <v>4440548.6959447125</v>
      </c>
      <c r="D1269" s="3">
        <f t="shared" si="79"/>
        <v>2.7217245819047093</v>
      </c>
      <c r="E1269" s="8">
        <f t="shared" si="76"/>
        <v>180.42857142857142</v>
      </c>
    </row>
    <row r="1270" spans="1:5" ht="18.5" x14ac:dyDescent="0.45">
      <c r="A1270" s="3">
        <v>1264</v>
      </c>
      <c r="B1270" s="9">
        <f t="shared" si="77"/>
        <v>0.9997639159234839</v>
      </c>
      <c r="C1270" s="3">
        <f t="shared" si="78"/>
        <v>4440551.4089657459</v>
      </c>
      <c r="D1270" s="3">
        <f t="shared" si="79"/>
        <v>2.7130210334435105</v>
      </c>
      <c r="E1270" s="8">
        <f t="shared" si="76"/>
        <v>180.57142857142858</v>
      </c>
    </row>
    <row r="1271" spans="1:5" ht="18.5" x14ac:dyDescent="0.45">
      <c r="A1271" s="3">
        <v>1265</v>
      </c>
      <c r="B1271" s="9">
        <f t="shared" si="77"/>
        <v>0.99976452479210931</v>
      </c>
      <c r="C1271" s="3">
        <f t="shared" si="78"/>
        <v>4440554.1133166328</v>
      </c>
      <c r="D1271" s="3">
        <f t="shared" si="79"/>
        <v>2.7043508868664503</v>
      </c>
      <c r="E1271" s="8">
        <f t="shared" si="76"/>
        <v>180.71428571428572</v>
      </c>
    </row>
    <row r="1272" spans="1:5" ht="18.5" x14ac:dyDescent="0.45">
      <c r="A1272" s="3">
        <v>1266</v>
      </c>
      <c r="B1272" s="9">
        <f t="shared" si="77"/>
        <v>0.99976513171618808</v>
      </c>
      <c r="C1272" s="3">
        <f t="shared" si="78"/>
        <v>4440556.8090306213</v>
      </c>
      <c r="D1272" s="3">
        <f t="shared" si="79"/>
        <v>2.6957139885053039</v>
      </c>
      <c r="E1272" s="8">
        <f t="shared" si="76"/>
        <v>180.85714285714286</v>
      </c>
    </row>
    <row r="1273" spans="1:5" ht="18.5" x14ac:dyDescent="0.45">
      <c r="A1273" s="3">
        <v>1267</v>
      </c>
      <c r="B1273" s="9">
        <f t="shared" si="77"/>
        <v>0.99976573670317248</v>
      </c>
      <c r="C1273" s="3">
        <f t="shared" si="78"/>
        <v>4440559.4961408107</v>
      </c>
      <c r="D1273" s="3">
        <f t="shared" si="79"/>
        <v>2.6871101893484592</v>
      </c>
      <c r="E1273" s="8">
        <f t="shared" si="76"/>
        <v>181</v>
      </c>
    </row>
    <row r="1274" spans="1:5" ht="18.5" x14ac:dyDescent="0.45">
      <c r="A1274" s="3">
        <v>1268</v>
      </c>
      <c r="B1274" s="9">
        <f t="shared" si="77"/>
        <v>0.99976633976048146</v>
      </c>
      <c r="C1274" s="3">
        <f t="shared" si="78"/>
        <v>4440562.1746801548</v>
      </c>
      <c r="D1274" s="3">
        <f t="shared" si="79"/>
        <v>2.6785393441095948</v>
      </c>
      <c r="E1274" s="8">
        <f t="shared" si="76"/>
        <v>181.14285714285714</v>
      </c>
    </row>
    <row r="1275" spans="1:5" ht="18.5" x14ac:dyDescent="0.45">
      <c r="A1275" s="3">
        <v>1269</v>
      </c>
      <c r="B1275" s="9">
        <f t="shared" si="77"/>
        <v>0.99976694089550056</v>
      </c>
      <c r="C1275" s="3">
        <f t="shared" si="78"/>
        <v>4440564.8446814548</v>
      </c>
      <c r="D1275" s="3">
        <f t="shared" si="79"/>
        <v>2.6700013000518084</v>
      </c>
      <c r="E1275" s="8">
        <f t="shared" si="76"/>
        <v>181.28571428571428</v>
      </c>
    </row>
    <row r="1276" spans="1:5" ht="18.5" x14ac:dyDescent="0.45">
      <c r="A1276" s="3">
        <v>1270</v>
      </c>
      <c r="B1276" s="9">
        <f t="shared" si="77"/>
        <v>0.99976754011558211</v>
      </c>
      <c r="C1276" s="3">
        <f t="shared" si="78"/>
        <v>4440567.5061773695</v>
      </c>
      <c r="D1276" s="3">
        <f t="shared" si="79"/>
        <v>2.6614959146827459</v>
      </c>
      <c r="E1276" s="8">
        <f t="shared" si="76"/>
        <v>181.42857142857142</v>
      </c>
    </row>
    <row r="1277" spans="1:5" ht="18.5" x14ac:dyDescent="0.45">
      <c r="A1277" s="3">
        <v>1271</v>
      </c>
      <c r="B1277" s="9">
        <f t="shared" si="77"/>
        <v>0.99976813742804582</v>
      </c>
      <c r="C1277" s="3">
        <f t="shared" si="78"/>
        <v>4440570.1592004085</v>
      </c>
      <c r="D1277" s="3">
        <f t="shared" si="79"/>
        <v>2.6530230389907956</v>
      </c>
      <c r="E1277" s="8">
        <f t="shared" si="76"/>
        <v>181.57142857142858</v>
      </c>
    </row>
    <row r="1278" spans="1:5" ht="18.5" x14ac:dyDescent="0.45">
      <c r="A1278" s="3">
        <v>1272</v>
      </c>
      <c r="B1278" s="9">
        <f t="shared" si="77"/>
        <v>0.99976873284017842</v>
      </c>
      <c r="C1278" s="3">
        <f t="shared" si="78"/>
        <v>4440572.8037829362</v>
      </c>
      <c r="D1278" s="3">
        <f t="shared" si="79"/>
        <v>2.6445825276896358</v>
      </c>
      <c r="E1278" s="8">
        <f t="shared" si="76"/>
        <v>181.71428571428572</v>
      </c>
    </row>
    <row r="1279" spans="1:5" ht="18.5" x14ac:dyDescent="0.45">
      <c r="A1279" s="3">
        <v>1273</v>
      </c>
      <c r="B1279" s="9">
        <f t="shared" si="77"/>
        <v>0.99976932635923388</v>
      </c>
      <c r="C1279" s="3">
        <f t="shared" si="78"/>
        <v>4440575.4399571735</v>
      </c>
      <c r="D1279" s="3">
        <f t="shared" si="79"/>
        <v>2.6361742373555899</v>
      </c>
      <c r="E1279" s="8">
        <f t="shared" si="76"/>
        <v>181.85714285714286</v>
      </c>
    </row>
    <row r="1280" spans="1:5" ht="18.5" x14ac:dyDescent="0.45">
      <c r="A1280" s="3">
        <v>1274</v>
      </c>
      <c r="B1280" s="9">
        <f t="shared" si="77"/>
        <v>0.99976991799243409</v>
      </c>
      <c r="C1280" s="3">
        <f t="shared" si="78"/>
        <v>4440578.0677551953</v>
      </c>
      <c r="D1280" s="3">
        <f t="shared" si="79"/>
        <v>2.6277980217710137</v>
      </c>
      <c r="E1280" s="8">
        <f t="shared" si="76"/>
        <v>182</v>
      </c>
    </row>
    <row r="1281" spans="1:5" ht="18.5" x14ac:dyDescent="0.45">
      <c r="A1281" s="3">
        <v>1275</v>
      </c>
      <c r="B1281" s="9">
        <f t="shared" si="77"/>
        <v>0.9997705077469683</v>
      </c>
      <c r="C1281" s="3">
        <f t="shared" si="78"/>
        <v>4440580.6872089347</v>
      </c>
      <c r="D1281" s="3">
        <f t="shared" si="79"/>
        <v>2.619453739374876</v>
      </c>
      <c r="E1281" s="8">
        <f t="shared" si="76"/>
        <v>182.14285714285714</v>
      </c>
    </row>
    <row r="1282" spans="1:5" ht="18.5" x14ac:dyDescent="0.45">
      <c r="A1282" s="3">
        <v>1276</v>
      </c>
      <c r="B1282" s="9">
        <f t="shared" si="77"/>
        <v>0.99977109562999411</v>
      </c>
      <c r="C1282" s="3">
        <f t="shared" si="78"/>
        <v>4440583.2983501814</v>
      </c>
      <c r="D1282" s="3">
        <f t="shared" si="79"/>
        <v>2.6111412467435002</v>
      </c>
      <c r="E1282" s="8">
        <f t="shared" si="76"/>
        <v>182.28571428571428</v>
      </c>
    </row>
    <row r="1283" spans="1:5" ht="18.5" x14ac:dyDescent="0.45">
      <c r="A1283" s="3">
        <v>1277</v>
      </c>
      <c r="B1283" s="9">
        <f t="shared" si="77"/>
        <v>0.99977168164863672</v>
      </c>
      <c r="C1283" s="3">
        <f t="shared" si="78"/>
        <v>4440585.9012105847</v>
      </c>
      <c r="D1283" s="3">
        <f t="shared" si="79"/>
        <v>2.6028604032471776</v>
      </c>
      <c r="E1283" s="8">
        <f t="shared" si="76"/>
        <v>182.42857142857142</v>
      </c>
    </row>
    <row r="1284" spans="1:5" ht="18.5" x14ac:dyDescent="0.45">
      <c r="A1284" s="3">
        <v>1278</v>
      </c>
      <c r="B1284" s="9">
        <f t="shared" si="77"/>
        <v>0.99977226580998979</v>
      </c>
      <c r="C1284" s="3">
        <f t="shared" si="78"/>
        <v>4440588.4958216511</v>
      </c>
      <c r="D1284" s="3">
        <f t="shared" si="79"/>
        <v>2.5946110663935542</v>
      </c>
      <c r="E1284" s="8">
        <f t="shared" si="76"/>
        <v>182.57142857142858</v>
      </c>
    </row>
    <row r="1285" spans="1:5" ht="18.5" x14ac:dyDescent="0.45">
      <c r="A1285" s="3">
        <v>1279</v>
      </c>
      <c r="B1285" s="9">
        <f t="shared" si="77"/>
        <v>0.99977284812111544</v>
      </c>
      <c r="C1285" s="3">
        <f t="shared" si="78"/>
        <v>4440591.0822147466</v>
      </c>
      <c r="D1285" s="3">
        <f t="shared" si="79"/>
        <v>2.5863930955529213</v>
      </c>
      <c r="E1285" s="8">
        <f t="shared" si="76"/>
        <v>182.71428571428572</v>
      </c>
    </row>
    <row r="1286" spans="1:5" ht="18.5" x14ac:dyDescent="0.45">
      <c r="A1286" s="3">
        <v>1280</v>
      </c>
      <c r="B1286" s="9">
        <f t="shared" si="77"/>
        <v>0.99977342858904417</v>
      </c>
      <c r="C1286" s="3">
        <f t="shared" si="78"/>
        <v>4440593.6604210986</v>
      </c>
      <c r="D1286" s="3">
        <f t="shared" si="79"/>
        <v>2.5782063519582152</v>
      </c>
      <c r="E1286" s="8">
        <f t="shared" si="76"/>
        <v>182.85714285714286</v>
      </c>
    </row>
    <row r="1287" spans="1:5" ht="18.5" x14ac:dyDescent="0.45">
      <c r="A1287" s="3">
        <v>1281</v>
      </c>
      <c r="B1287" s="9">
        <f t="shared" si="77"/>
        <v>0.99977400722077525</v>
      </c>
      <c r="C1287" s="3">
        <f t="shared" si="78"/>
        <v>4440596.2304717954</v>
      </c>
      <c r="D1287" s="3">
        <f t="shared" si="79"/>
        <v>2.5700506968423724</v>
      </c>
      <c r="E1287" s="8">
        <f t="shared" ref="E1287:E1350" si="80">A1287/7</f>
        <v>183</v>
      </c>
    </row>
    <row r="1288" spans="1:5" ht="18.5" x14ac:dyDescent="0.45">
      <c r="A1288" s="3">
        <v>1282</v>
      </c>
      <c r="B1288" s="9">
        <f t="shared" ref="B1288:B1351" si="81">LOGNORMDIST(A1288,$A$3,$B$3)</f>
        <v>0.9997745840232769</v>
      </c>
      <c r="C1288" s="3">
        <f t="shared" ref="C1288:C1351" si="82">$E$3*B1288</f>
        <v>4440598.7923977869</v>
      </c>
      <c r="D1288" s="3">
        <f t="shared" ref="D1288:D1351" si="83">C1288-C1287</f>
        <v>2.5619259914383292</v>
      </c>
      <c r="E1288" s="8">
        <f t="shared" si="80"/>
        <v>183.14285714285714</v>
      </c>
    </row>
    <row r="1289" spans="1:5" ht="18.5" x14ac:dyDescent="0.45">
      <c r="A1289" s="3">
        <v>1283</v>
      </c>
      <c r="B1289" s="9">
        <f t="shared" si="81"/>
        <v>0.99977515900348612</v>
      </c>
      <c r="C1289" s="3">
        <f t="shared" si="82"/>
        <v>4440601.3462298838</v>
      </c>
      <c r="D1289" s="3">
        <f t="shared" si="83"/>
        <v>2.553832096979022</v>
      </c>
      <c r="E1289" s="8">
        <f t="shared" si="80"/>
        <v>183.28571428571428</v>
      </c>
    </row>
    <row r="1290" spans="1:5" ht="18.5" x14ac:dyDescent="0.45">
      <c r="A1290" s="3">
        <v>1284</v>
      </c>
      <c r="B1290" s="9">
        <f t="shared" si="81"/>
        <v>0.99977573216830962</v>
      </c>
      <c r="C1290" s="3">
        <f t="shared" si="82"/>
        <v>4440603.8919987641</v>
      </c>
      <c r="D1290" s="3">
        <f t="shared" si="83"/>
        <v>2.5457688802853227</v>
      </c>
      <c r="E1290" s="8">
        <f t="shared" si="80"/>
        <v>183.42857142857142</v>
      </c>
    </row>
    <row r="1291" spans="1:5" ht="18.5" x14ac:dyDescent="0.45">
      <c r="A1291" s="3">
        <v>1285</v>
      </c>
      <c r="B1291" s="9">
        <f t="shared" si="81"/>
        <v>0.99977630352462288</v>
      </c>
      <c r="C1291" s="3">
        <f t="shared" si="82"/>
        <v>4440606.4297349649</v>
      </c>
      <c r="D1291" s="3">
        <f t="shared" si="83"/>
        <v>2.5377362007275224</v>
      </c>
      <c r="E1291" s="8">
        <f t="shared" si="80"/>
        <v>183.57142857142858</v>
      </c>
    </row>
    <row r="1292" spans="1:5" ht="18.5" x14ac:dyDescent="0.45">
      <c r="A1292" s="3">
        <v>1286</v>
      </c>
      <c r="B1292" s="9">
        <f t="shared" si="81"/>
        <v>0.9997768730792711</v>
      </c>
      <c r="C1292" s="3">
        <f t="shared" si="82"/>
        <v>4440608.9594688909</v>
      </c>
      <c r="D1292" s="3">
        <f t="shared" si="83"/>
        <v>2.5297339260578156</v>
      </c>
      <c r="E1292" s="8">
        <f t="shared" si="80"/>
        <v>183.71428571428572</v>
      </c>
    </row>
    <row r="1293" spans="1:5" ht="18.5" x14ac:dyDescent="0.45">
      <c r="A1293" s="3">
        <v>1287</v>
      </c>
      <c r="B1293" s="9">
        <f t="shared" si="81"/>
        <v>0.99977744083906939</v>
      </c>
      <c r="C1293" s="3">
        <f t="shared" si="82"/>
        <v>4440611.4812308103</v>
      </c>
      <c r="D1293" s="3">
        <f t="shared" si="83"/>
        <v>2.5217619193717837</v>
      </c>
      <c r="E1293" s="8">
        <f t="shared" si="80"/>
        <v>183.85714285714286</v>
      </c>
    </row>
    <row r="1294" spans="1:5" ht="18.5" x14ac:dyDescent="0.45">
      <c r="A1294" s="3">
        <v>1288</v>
      </c>
      <c r="B1294" s="9">
        <f t="shared" si="81"/>
        <v>0.9997780068108022</v>
      </c>
      <c r="C1294" s="3">
        <f t="shared" si="82"/>
        <v>4440613.9950508587</v>
      </c>
      <c r="D1294" s="3">
        <f t="shared" si="83"/>
        <v>2.5138200484216213</v>
      </c>
      <c r="E1294" s="8">
        <f t="shared" si="80"/>
        <v>184</v>
      </c>
    </row>
    <row r="1295" spans="1:5" ht="18.5" x14ac:dyDescent="0.45">
      <c r="A1295" s="3">
        <v>1289</v>
      </c>
      <c r="B1295" s="9">
        <f t="shared" si="81"/>
        <v>0.99977857100122436</v>
      </c>
      <c r="C1295" s="3">
        <f t="shared" si="82"/>
        <v>4440616.5009590378</v>
      </c>
      <c r="D1295" s="3">
        <f t="shared" si="83"/>
        <v>2.5059081790968776</v>
      </c>
      <c r="E1295" s="8">
        <f t="shared" si="80"/>
        <v>184.14285714285714</v>
      </c>
    </row>
    <row r="1296" spans="1:5" ht="18.5" x14ac:dyDescent="0.45">
      <c r="A1296" s="3">
        <v>1290</v>
      </c>
      <c r="B1296" s="9">
        <f t="shared" si="81"/>
        <v>0.99977913341706059</v>
      </c>
      <c r="C1296" s="3">
        <f t="shared" si="82"/>
        <v>4440618.998985216</v>
      </c>
      <c r="D1296" s="3">
        <f t="shared" si="83"/>
        <v>2.4980261782184243</v>
      </c>
      <c r="E1296" s="8">
        <f t="shared" si="80"/>
        <v>184.28571428571428</v>
      </c>
    </row>
    <row r="1297" spans="1:5" ht="18.5" x14ac:dyDescent="0.45">
      <c r="A1297" s="3">
        <v>1291</v>
      </c>
      <c r="B1297" s="9">
        <f t="shared" si="81"/>
        <v>0.999779694065006</v>
      </c>
      <c r="C1297" s="3">
        <f t="shared" si="82"/>
        <v>4440621.4891591305</v>
      </c>
      <c r="D1297" s="3">
        <f t="shared" si="83"/>
        <v>2.4901739144697785</v>
      </c>
      <c r="E1297" s="8">
        <f t="shared" si="80"/>
        <v>184.42857142857142</v>
      </c>
    </row>
    <row r="1298" spans="1:5" ht="18.5" x14ac:dyDescent="0.45">
      <c r="A1298" s="3">
        <v>1292</v>
      </c>
      <c r="B1298" s="9">
        <f t="shared" si="81"/>
        <v>0.99978025295172601</v>
      </c>
      <c r="C1298" s="3">
        <f t="shared" si="82"/>
        <v>4440623.9715103861</v>
      </c>
      <c r="D1298" s="3">
        <f t="shared" si="83"/>
        <v>2.4823512556031346</v>
      </c>
      <c r="E1298" s="8">
        <f t="shared" si="80"/>
        <v>184.57142857142858</v>
      </c>
    </row>
    <row r="1299" spans="1:5" ht="18.5" x14ac:dyDescent="0.45">
      <c r="A1299" s="3">
        <v>1293</v>
      </c>
      <c r="B1299" s="9">
        <f t="shared" si="81"/>
        <v>0.99978081008385677</v>
      </c>
      <c r="C1299" s="3">
        <f t="shared" si="82"/>
        <v>4440626.4460684583</v>
      </c>
      <c r="D1299" s="3">
        <f t="shared" si="83"/>
        <v>2.4745580721646547</v>
      </c>
      <c r="E1299" s="8">
        <f t="shared" si="80"/>
        <v>184.71428571428572</v>
      </c>
    </row>
    <row r="1300" spans="1:5" ht="18.5" x14ac:dyDescent="0.45">
      <c r="A1300" s="3">
        <v>1294</v>
      </c>
      <c r="B1300" s="9">
        <f t="shared" si="81"/>
        <v>0.99978136546800489</v>
      </c>
      <c r="C1300" s="3">
        <f t="shared" si="82"/>
        <v>4440628.9128626902</v>
      </c>
      <c r="D1300" s="3">
        <f t="shared" si="83"/>
        <v>2.4667942319065332</v>
      </c>
      <c r="E1300" s="8">
        <f t="shared" si="80"/>
        <v>184.85714285714286</v>
      </c>
    </row>
    <row r="1301" spans="1:5" ht="18.5" x14ac:dyDescent="0.45">
      <c r="A1301" s="3">
        <v>1295</v>
      </c>
      <c r="B1301" s="9">
        <f t="shared" si="81"/>
        <v>0.99978191911074821</v>
      </c>
      <c r="C1301" s="3">
        <f t="shared" si="82"/>
        <v>4440631.3719222993</v>
      </c>
      <c r="D1301" s="3">
        <f t="shared" si="83"/>
        <v>2.4590596091002226</v>
      </c>
      <c r="E1301" s="8">
        <f t="shared" si="80"/>
        <v>185</v>
      </c>
    </row>
    <row r="1302" spans="1:5" ht="18.5" x14ac:dyDescent="0.45">
      <c r="A1302" s="3">
        <v>1296</v>
      </c>
      <c r="B1302" s="9">
        <f t="shared" si="81"/>
        <v>0.99978247101863527</v>
      </c>
      <c r="C1302" s="3">
        <f t="shared" si="82"/>
        <v>4440633.8232763708</v>
      </c>
      <c r="D1302" s="3">
        <f t="shared" si="83"/>
        <v>2.4513540714979172</v>
      </c>
      <c r="E1302" s="8">
        <f t="shared" si="80"/>
        <v>185.14285714285714</v>
      </c>
    </row>
    <row r="1303" spans="1:5" ht="18.5" x14ac:dyDescent="0.45">
      <c r="A1303" s="3">
        <v>1297</v>
      </c>
      <c r="B1303" s="9">
        <f t="shared" si="81"/>
        <v>0.99978302119818585</v>
      </c>
      <c r="C1303" s="3">
        <f t="shared" si="82"/>
        <v>4440636.2669538623</v>
      </c>
      <c r="D1303" s="3">
        <f t="shared" si="83"/>
        <v>2.4436774915084243</v>
      </c>
      <c r="E1303" s="8">
        <f t="shared" si="80"/>
        <v>185.28571428571428</v>
      </c>
    </row>
    <row r="1304" spans="1:5" ht="18.5" x14ac:dyDescent="0.45">
      <c r="A1304" s="3">
        <v>1298</v>
      </c>
      <c r="B1304" s="9">
        <f t="shared" si="81"/>
        <v>0.99978356965589121</v>
      </c>
      <c r="C1304" s="3">
        <f t="shared" si="82"/>
        <v>4440638.7029836066</v>
      </c>
      <c r="D1304" s="3">
        <f t="shared" si="83"/>
        <v>2.4360297443345189</v>
      </c>
      <c r="E1304" s="8">
        <f t="shared" si="80"/>
        <v>185.42857142857142</v>
      </c>
    </row>
    <row r="1305" spans="1:5" ht="18.5" x14ac:dyDescent="0.45">
      <c r="A1305" s="3">
        <v>1299</v>
      </c>
      <c r="B1305" s="9">
        <f t="shared" si="81"/>
        <v>0.99978411639821396</v>
      </c>
      <c r="C1305" s="3">
        <f t="shared" si="82"/>
        <v>4440641.1313943071</v>
      </c>
      <c r="D1305" s="3">
        <f t="shared" si="83"/>
        <v>2.4284107005223632</v>
      </c>
      <c r="E1305" s="8">
        <f t="shared" si="80"/>
        <v>185.57142857142858</v>
      </c>
    </row>
    <row r="1306" spans="1:5" ht="18.5" x14ac:dyDescent="0.45">
      <c r="A1306" s="3">
        <v>1300</v>
      </c>
      <c r="B1306" s="9">
        <f t="shared" si="81"/>
        <v>0.99978466143158817</v>
      </c>
      <c r="C1306" s="3">
        <f t="shared" si="82"/>
        <v>4440643.5522145424</v>
      </c>
      <c r="D1306" s="3">
        <f t="shared" si="83"/>
        <v>2.4208202352747321</v>
      </c>
      <c r="E1306" s="8">
        <f t="shared" si="80"/>
        <v>185.71428571428572</v>
      </c>
    </row>
    <row r="1307" spans="1:5" ht="18.5" x14ac:dyDescent="0.45">
      <c r="A1307" s="3">
        <v>1301</v>
      </c>
      <c r="B1307" s="9">
        <f t="shared" si="81"/>
        <v>0.99978520476241994</v>
      </c>
      <c r="C1307" s="3">
        <f t="shared" si="82"/>
        <v>4440645.9654727643</v>
      </c>
      <c r="D1307" s="3">
        <f t="shared" si="83"/>
        <v>2.4132582219317555</v>
      </c>
      <c r="E1307" s="8">
        <f t="shared" si="80"/>
        <v>185.85714285714286</v>
      </c>
    </row>
    <row r="1308" spans="1:5" ht="18.5" x14ac:dyDescent="0.45">
      <c r="A1308" s="3">
        <v>1302</v>
      </c>
      <c r="B1308" s="9">
        <f t="shared" si="81"/>
        <v>0.99978574639708695</v>
      </c>
      <c r="C1308" s="3">
        <f t="shared" si="82"/>
        <v>4440648.371197301</v>
      </c>
      <c r="D1308" s="3">
        <f t="shared" si="83"/>
        <v>2.4057245366275311</v>
      </c>
      <c r="E1308" s="8">
        <f t="shared" si="80"/>
        <v>186</v>
      </c>
    </row>
    <row r="1309" spans="1:5" ht="18.5" x14ac:dyDescent="0.45">
      <c r="A1309" s="3">
        <v>1303</v>
      </c>
      <c r="B1309" s="9">
        <f t="shared" si="81"/>
        <v>0.99978628634193911</v>
      </c>
      <c r="C1309" s="3">
        <f t="shared" si="82"/>
        <v>4440650.7694163565</v>
      </c>
      <c r="D1309" s="3">
        <f t="shared" si="83"/>
        <v>2.3982190554961562</v>
      </c>
      <c r="E1309" s="8">
        <f t="shared" si="80"/>
        <v>186.14285714285714</v>
      </c>
    </row>
    <row r="1310" spans="1:5" ht="18.5" x14ac:dyDescent="0.45">
      <c r="A1310" s="3">
        <v>1304</v>
      </c>
      <c r="B1310" s="9">
        <f t="shared" si="81"/>
        <v>0.99978682460329837</v>
      </c>
      <c r="C1310" s="3">
        <f t="shared" si="82"/>
        <v>4440653.1601580102</v>
      </c>
      <c r="D1310" s="3">
        <f t="shared" si="83"/>
        <v>2.390741653740406</v>
      </c>
      <c r="E1310" s="8">
        <f t="shared" si="80"/>
        <v>186.28571428571428</v>
      </c>
    </row>
    <row r="1311" spans="1:5" ht="18.5" x14ac:dyDescent="0.45">
      <c r="A1311" s="3">
        <v>1305</v>
      </c>
      <c r="B1311" s="9">
        <f t="shared" si="81"/>
        <v>0.99978736118745926</v>
      </c>
      <c r="C1311" s="3">
        <f t="shared" si="82"/>
        <v>4440655.5434502186</v>
      </c>
      <c r="D1311" s="3">
        <f t="shared" si="83"/>
        <v>2.3832922084257007</v>
      </c>
      <c r="E1311" s="8">
        <f t="shared" si="80"/>
        <v>186.42857142857142</v>
      </c>
    </row>
    <row r="1312" spans="1:5" ht="18.5" x14ac:dyDescent="0.45">
      <c r="A1312" s="3">
        <v>1306</v>
      </c>
      <c r="B1312" s="9">
        <f t="shared" si="81"/>
        <v>0.9997878961006883</v>
      </c>
      <c r="C1312" s="3">
        <f t="shared" si="82"/>
        <v>4440657.9193208171</v>
      </c>
      <c r="D1312" s="3">
        <f t="shared" si="83"/>
        <v>2.3758705984801054</v>
      </c>
      <c r="E1312" s="8">
        <f t="shared" si="80"/>
        <v>186.57142857142858</v>
      </c>
    </row>
    <row r="1313" spans="1:5" ht="18.5" x14ac:dyDescent="0.45">
      <c r="A1313" s="3">
        <v>1307</v>
      </c>
      <c r="B1313" s="9">
        <f t="shared" si="81"/>
        <v>0.99978842934922507</v>
      </c>
      <c r="C1313" s="3">
        <f t="shared" si="82"/>
        <v>4440660.2877975181</v>
      </c>
      <c r="D1313" s="3">
        <f t="shared" si="83"/>
        <v>2.3684767009690404</v>
      </c>
      <c r="E1313" s="8">
        <f t="shared" si="80"/>
        <v>186.71428571428572</v>
      </c>
    </row>
    <row r="1314" spans="1:5" ht="18.5" x14ac:dyDescent="0.45">
      <c r="A1314" s="3">
        <v>1308</v>
      </c>
      <c r="B1314" s="9">
        <f t="shared" si="81"/>
        <v>0.99978896093928149</v>
      </c>
      <c r="C1314" s="3">
        <f t="shared" si="82"/>
        <v>4440662.6489079129</v>
      </c>
      <c r="D1314" s="3">
        <f t="shared" si="83"/>
        <v>2.3611103948205709</v>
      </c>
      <c r="E1314" s="8">
        <f t="shared" si="80"/>
        <v>186.85714285714286</v>
      </c>
    </row>
    <row r="1315" spans="1:5" ht="18.5" x14ac:dyDescent="0.45">
      <c r="A1315" s="3">
        <v>1309</v>
      </c>
      <c r="B1315" s="9">
        <f t="shared" si="81"/>
        <v>0.99978949087704272</v>
      </c>
      <c r="C1315" s="3">
        <f t="shared" si="82"/>
        <v>4440665.0026794728</v>
      </c>
      <c r="D1315" s="3">
        <f t="shared" si="83"/>
        <v>2.3537715598940849</v>
      </c>
      <c r="E1315" s="8">
        <f t="shared" si="80"/>
        <v>187</v>
      </c>
    </row>
    <row r="1316" spans="1:5" ht="18.5" x14ac:dyDescent="0.45">
      <c r="A1316" s="3">
        <v>1310</v>
      </c>
      <c r="B1316" s="9">
        <f t="shared" si="81"/>
        <v>0.9997900191686665</v>
      </c>
      <c r="C1316" s="3">
        <f t="shared" si="82"/>
        <v>4440667.3491395488</v>
      </c>
      <c r="D1316" s="3">
        <f t="shared" si="83"/>
        <v>2.3464600760489702</v>
      </c>
      <c r="E1316" s="8">
        <f t="shared" si="80"/>
        <v>187.14285714285714</v>
      </c>
    </row>
    <row r="1317" spans="1:5" ht="18.5" x14ac:dyDescent="0.45">
      <c r="A1317" s="3">
        <v>1311</v>
      </c>
      <c r="B1317" s="9">
        <f t="shared" si="81"/>
        <v>0.99979054582028393</v>
      </c>
      <c r="C1317" s="3">
        <f t="shared" si="82"/>
        <v>4440669.6883153729</v>
      </c>
      <c r="D1317" s="3">
        <f t="shared" si="83"/>
        <v>2.3391758240759373</v>
      </c>
      <c r="E1317" s="8">
        <f t="shared" si="80"/>
        <v>187.28571428571428</v>
      </c>
    </row>
    <row r="1318" spans="1:5" ht="18.5" x14ac:dyDescent="0.45">
      <c r="A1318" s="3">
        <v>1312</v>
      </c>
      <c r="B1318" s="9">
        <f t="shared" si="81"/>
        <v>0.99979107083799956</v>
      </c>
      <c r="C1318" s="3">
        <f t="shared" si="82"/>
        <v>4440672.0202340586</v>
      </c>
      <c r="D1318" s="3">
        <f t="shared" si="83"/>
        <v>2.3319186856970191</v>
      </c>
      <c r="E1318" s="8">
        <f t="shared" si="80"/>
        <v>187.42857142857142</v>
      </c>
    </row>
    <row r="1319" spans="1:5" ht="18.5" x14ac:dyDescent="0.45">
      <c r="A1319" s="3">
        <v>1313</v>
      </c>
      <c r="B1319" s="9">
        <f t="shared" si="81"/>
        <v>0.99979159422789088</v>
      </c>
      <c r="C1319" s="3">
        <f t="shared" si="82"/>
        <v>4440674.3449226003</v>
      </c>
      <c r="D1319" s="3">
        <f t="shared" si="83"/>
        <v>2.3246885417029262</v>
      </c>
      <c r="E1319" s="8">
        <f t="shared" si="80"/>
        <v>187.57142857142858</v>
      </c>
    </row>
    <row r="1320" spans="1:5" ht="18.5" x14ac:dyDescent="0.45">
      <c r="A1320" s="3">
        <v>1314</v>
      </c>
      <c r="B1320" s="9">
        <f t="shared" si="81"/>
        <v>0.99979211599600937</v>
      </c>
      <c r="C1320" s="3">
        <f t="shared" si="82"/>
        <v>4440676.6624078751</v>
      </c>
      <c r="D1320" s="3">
        <f t="shared" si="83"/>
        <v>2.317485274747014</v>
      </c>
      <c r="E1320" s="8">
        <f t="shared" si="80"/>
        <v>187.71428571428572</v>
      </c>
    </row>
    <row r="1321" spans="1:5" ht="18.5" x14ac:dyDescent="0.45">
      <c r="A1321" s="3">
        <v>1315</v>
      </c>
      <c r="B1321" s="9">
        <f t="shared" si="81"/>
        <v>0.99979263614837988</v>
      </c>
      <c r="C1321" s="3">
        <f t="shared" si="82"/>
        <v>4440678.9727166444</v>
      </c>
      <c r="D1321" s="3">
        <f t="shared" si="83"/>
        <v>2.3103087693452835</v>
      </c>
      <c r="E1321" s="8">
        <f t="shared" si="80"/>
        <v>187.85714285714286</v>
      </c>
    </row>
    <row r="1322" spans="1:5" ht="18.5" x14ac:dyDescent="0.45">
      <c r="A1322" s="3">
        <v>1316</v>
      </c>
      <c r="B1322" s="9">
        <f t="shared" si="81"/>
        <v>0.99979315469100116</v>
      </c>
      <c r="C1322" s="3">
        <f t="shared" si="82"/>
        <v>4440681.2758755507</v>
      </c>
      <c r="D1322" s="3">
        <f t="shared" si="83"/>
        <v>2.303158906288445</v>
      </c>
      <c r="E1322" s="8">
        <f t="shared" si="80"/>
        <v>188</v>
      </c>
    </row>
    <row r="1323" spans="1:5" ht="18.5" x14ac:dyDescent="0.45">
      <c r="A1323" s="3">
        <v>1317</v>
      </c>
      <c r="B1323" s="9">
        <f t="shared" si="81"/>
        <v>0.999793671629846</v>
      </c>
      <c r="C1323" s="3">
        <f t="shared" si="82"/>
        <v>4440683.5719111236</v>
      </c>
      <c r="D1323" s="3">
        <f t="shared" si="83"/>
        <v>2.296035572886467</v>
      </c>
      <c r="E1323" s="8">
        <f t="shared" si="80"/>
        <v>188.14285714285714</v>
      </c>
    </row>
    <row r="1324" spans="1:5" ht="18.5" x14ac:dyDescent="0.45">
      <c r="A1324" s="3">
        <v>1318</v>
      </c>
      <c r="B1324" s="9">
        <f t="shared" si="81"/>
        <v>0.99979418697086109</v>
      </c>
      <c r="C1324" s="3">
        <f t="shared" si="82"/>
        <v>4440685.8608497763</v>
      </c>
      <c r="D1324" s="3">
        <f t="shared" si="83"/>
        <v>2.2889386527240276</v>
      </c>
      <c r="E1324" s="8">
        <f t="shared" si="80"/>
        <v>188.28571428571428</v>
      </c>
    </row>
    <row r="1325" spans="1:5" ht="18.5" x14ac:dyDescent="0.45">
      <c r="A1325" s="3">
        <v>1319</v>
      </c>
      <c r="B1325" s="9">
        <f t="shared" si="81"/>
        <v>0.99979470071996723</v>
      </c>
      <c r="C1325" s="3">
        <f t="shared" si="82"/>
        <v>4440688.1427178066</v>
      </c>
      <c r="D1325" s="3">
        <f t="shared" si="83"/>
        <v>2.2818680303171277</v>
      </c>
      <c r="E1325" s="8">
        <f t="shared" si="80"/>
        <v>188.42857142857142</v>
      </c>
    </row>
    <row r="1326" spans="1:5" ht="18.5" x14ac:dyDescent="0.45">
      <c r="A1326" s="3">
        <v>1320</v>
      </c>
      <c r="B1326" s="9">
        <f t="shared" si="81"/>
        <v>0.99979521288305984</v>
      </c>
      <c r="C1326" s="3">
        <f t="shared" si="82"/>
        <v>4440690.4175413987</v>
      </c>
      <c r="D1326" s="3">
        <f t="shared" si="83"/>
        <v>2.2748235920444131</v>
      </c>
      <c r="E1326" s="8">
        <f t="shared" si="80"/>
        <v>188.57142857142858</v>
      </c>
    </row>
    <row r="1327" spans="1:5" ht="18.5" x14ac:dyDescent="0.45">
      <c r="A1327" s="3">
        <v>1321</v>
      </c>
      <c r="B1327" s="9">
        <f t="shared" si="81"/>
        <v>0.99979572346600853</v>
      </c>
      <c r="C1327" s="3">
        <f t="shared" si="82"/>
        <v>4440692.6853466239</v>
      </c>
      <c r="D1327" s="3">
        <f t="shared" si="83"/>
        <v>2.2678052252158523</v>
      </c>
      <c r="E1327" s="8">
        <f t="shared" si="80"/>
        <v>188.71428571428572</v>
      </c>
    </row>
    <row r="1328" spans="1:5" ht="18.5" x14ac:dyDescent="0.45">
      <c r="A1328" s="3">
        <v>1322</v>
      </c>
      <c r="B1328" s="9">
        <f t="shared" si="81"/>
        <v>0.99979623247465765</v>
      </c>
      <c r="C1328" s="3">
        <f t="shared" si="82"/>
        <v>4440694.9461594392</v>
      </c>
      <c r="D1328" s="3">
        <f t="shared" si="83"/>
        <v>2.2608128152787685</v>
      </c>
      <c r="E1328" s="8">
        <f t="shared" si="80"/>
        <v>188.85714285714286</v>
      </c>
    </row>
    <row r="1329" spans="1:5" ht="18.5" x14ac:dyDescent="0.45">
      <c r="A1329" s="3">
        <v>1323</v>
      </c>
      <c r="B1329" s="9">
        <f t="shared" si="81"/>
        <v>0.99979673991482609</v>
      </c>
      <c r="C1329" s="3">
        <f t="shared" si="82"/>
        <v>4440697.2000056915</v>
      </c>
      <c r="D1329" s="3">
        <f t="shared" si="83"/>
        <v>2.2538462523370981</v>
      </c>
      <c r="E1329" s="8">
        <f t="shared" si="80"/>
        <v>189</v>
      </c>
    </row>
    <row r="1330" spans="1:5" ht="18.5" x14ac:dyDescent="0.45">
      <c r="A1330" s="3">
        <v>1324</v>
      </c>
      <c r="B1330" s="9">
        <f t="shared" si="81"/>
        <v>0.99979724579230755</v>
      </c>
      <c r="C1330" s="3">
        <f t="shared" si="82"/>
        <v>4440699.4469111133</v>
      </c>
      <c r="D1330" s="3">
        <f t="shared" si="83"/>
        <v>2.2469054218381643</v>
      </c>
      <c r="E1330" s="8">
        <f t="shared" si="80"/>
        <v>189.14285714285714</v>
      </c>
    </row>
    <row r="1331" spans="1:5" ht="18.5" x14ac:dyDescent="0.45">
      <c r="A1331" s="3">
        <v>1325</v>
      </c>
      <c r="B1331" s="9">
        <f t="shared" si="81"/>
        <v>0.99979775011287098</v>
      </c>
      <c r="C1331" s="3">
        <f t="shared" si="82"/>
        <v>4440701.6869013282</v>
      </c>
      <c r="D1331" s="3">
        <f t="shared" si="83"/>
        <v>2.2399902148172259</v>
      </c>
      <c r="E1331" s="8">
        <f t="shared" si="80"/>
        <v>189.28571428571428</v>
      </c>
    </row>
    <row r="1332" spans="1:5" ht="18.5" x14ac:dyDescent="0.45">
      <c r="A1332" s="3">
        <v>1326</v>
      </c>
      <c r="B1332" s="9">
        <f t="shared" si="81"/>
        <v>0.9997982528822601</v>
      </c>
      <c r="C1332" s="3">
        <f t="shared" si="82"/>
        <v>4440703.9200018467</v>
      </c>
      <c r="D1332" s="3">
        <f t="shared" si="83"/>
        <v>2.2331005185842514</v>
      </c>
      <c r="E1332" s="8">
        <f t="shared" si="80"/>
        <v>189.42857142857142</v>
      </c>
    </row>
    <row r="1333" spans="1:5" ht="18.5" x14ac:dyDescent="0.45">
      <c r="A1333" s="3">
        <v>1327</v>
      </c>
      <c r="B1333" s="9">
        <f t="shared" si="81"/>
        <v>0.9997987541061939</v>
      </c>
      <c r="C1333" s="3">
        <f t="shared" si="82"/>
        <v>4440706.1462380709</v>
      </c>
      <c r="D1333" s="3">
        <f t="shared" si="83"/>
        <v>2.2262362241744995</v>
      </c>
      <c r="E1333" s="8">
        <f t="shared" si="80"/>
        <v>189.57142857142858</v>
      </c>
    </row>
    <row r="1334" spans="1:5" ht="18.5" x14ac:dyDescent="0.45">
      <c r="A1334" s="3">
        <v>1328</v>
      </c>
      <c r="B1334" s="9">
        <f t="shared" si="81"/>
        <v>0.99979925379036683</v>
      </c>
      <c r="C1334" s="3">
        <f t="shared" si="82"/>
        <v>4440708.3656352935</v>
      </c>
      <c r="D1334" s="3">
        <f t="shared" si="83"/>
        <v>2.219397222623229</v>
      </c>
      <c r="E1334" s="8">
        <f t="shared" si="80"/>
        <v>189.71428571428572</v>
      </c>
    </row>
    <row r="1335" spans="1:5" ht="18.5" x14ac:dyDescent="0.45">
      <c r="A1335" s="3">
        <v>1329</v>
      </c>
      <c r="B1335" s="9">
        <f t="shared" si="81"/>
        <v>0.99979975194044857</v>
      </c>
      <c r="C1335" s="3">
        <f t="shared" si="82"/>
        <v>4440710.5782186966</v>
      </c>
      <c r="D1335" s="3">
        <f t="shared" si="83"/>
        <v>2.2125834031030536</v>
      </c>
      <c r="E1335" s="8">
        <f t="shared" si="80"/>
        <v>189.85714285714286</v>
      </c>
    </row>
    <row r="1336" spans="1:5" ht="18.5" x14ac:dyDescent="0.45">
      <c r="A1336" s="3">
        <v>1330</v>
      </c>
      <c r="B1336" s="9">
        <f t="shared" si="81"/>
        <v>0.99980024856208438</v>
      </c>
      <c r="C1336" s="3">
        <f t="shared" si="82"/>
        <v>4440712.7840133542</v>
      </c>
      <c r="D1336" s="3">
        <f t="shared" si="83"/>
        <v>2.2057946575805545</v>
      </c>
      <c r="E1336" s="8">
        <f t="shared" si="80"/>
        <v>190</v>
      </c>
    </row>
    <row r="1337" spans="1:5" ht="18.5" x14ac:dyDescent="0.45">
      <c r="A1337" s="3">
        <v>1331</v>
      </c>
      <c r="B1337" s="9">
        <f t="shared" si="81"/>
        <v>0.99980074366089555</v>
      </c>
      <c r="C1337" s="3">
        <f t="shared" si="82"/>
        <v>4440714.9830442341</v>
      </c>
      <c r="D1337" s="3">
        <f t="shared" si="83"/>
        <v>2.1990308798849583</v>
      </c>
      <c r="E1337" s="8">
        <f t="shared" si="80"/>
        <v>190.14285714285714</v>
      </c>
    </row>
    <row r="1338" spans="1:5" ht="18.5" x14ac:dyDescent="0.45">
      <c r="A1338" s="3">
        <v>1332</v>
      </c>
      <c r="B1338" s="9">
        <f t="shared" si="81"/>
        <v>0.99980123724247871</v>
      </c>
      <c r="C1338" s="3">
        <f t="shared" si="82"/>
        <v>4440717.1753361933</v>
      </c>
      <c r="D1338" s="3">
        <f t="shared" si="83"/>
        <v>2.1922919591888785</v>
      </c>
      <c r="E1338" s="8">
        <f t="shared" si="80"/>
        <v>190.28571428571428</v>
      </c>
    </row>
    <row r="1339" spans="1:5" ht="18.5" x14ac:dyDescent="0.45">
      <c r="A1339" s="3">
        <v>1333</v>
      </c>
      <c r="B1339" s="9">
        <f t="shared" si="81"/>
        <v>0.99980172931240674</v>
      </c>
      <c r="C1339" s="3">
        <f t="shared" si="82"/>
        <v>4440719.3609139854</v>
      </c>
      <c r="D1339" s="3">
        <f t="shared" si="83"/>
        <v>2.1855777921155095</v>
      </c>
      <c r="E1339" s="8">
        <f t="shared" si="80"/>
        <v>190.42857142857142</v>
      </c>
    </row>
    <row r="1340" spans="1:5" ht="18.5" x14ac:dyDescent="0.45">
      <c r="A1340" s="3">
        <v>1334</v>
      </c>
      <c r="B1340" s="9">
        <f t="shared" si="81"/>
        <v>0.99980221987622842</v>
      </c>
      <c r="C1340" s="3">
        <f t="shared" si="82"/>
        <v>4440721.539802256</v>
      </c>
      <c r="D1340" s="3">
        <f t="shared" si="83"/>
        <v>2.1788882706314325</v>
      </c>
      <c r="E1340" s="8">
        <f t="shared" si="80"/>
        <v>190.57142857142858</v>
      </c>
    </row>
    <row r="1341" spans="1:5" ht="18.5" x14ac:dyDescent="0.45">
      <c r="A1341" s="3">
        <v>1335</v>
      </c>
      <c r="B1341" s="9">
        <f t="shared" si="81"/>
        <v>0.99980270893946865</v>
      </c>
      <c r="C1341" s="3">
        <f t="shared" si="82"/>
        <v>4440723.7120255437</v>
      </c>
      <c r="D1341" s="3">
        <f t="shared" si="83"/>
        <v>2.1722232876345515</v>
      </c>
      <c r="E1341" s="8">
        <f t="shared" si="80"/>
        <v>190.71428571428572</v>
      </c>
    </row>
    <row r="1342" spans="1:5" ht="18.5" x14ac:dyDescent="0.45">
      <c r="A1342" s="3">
        <v>1336</v>
      </c>
      <c r="B1342" s="9">
        <f t="shared" si="81"/>
        <v>0.99980319650762894</v>
      </c>
      <c r="C1342" s="3">
        <f t="shared" si="82"/>
        <v>4440725.8776082844</v>
      </c>
      <c r="D1342" s="3">
        <f t="shared" si="83"/>
        <v>2.1655827406793833</v>
      </c>
      <c r="E1342" s="8">
        <f t="shared" si="80"/>
        <v>190.85714285714286</v>
      </c>
    </row>
    <row r="1343" spans="1:5" ht="18.5" x14ac:dyDescent="0.45">
      <c r="A1343" s="3">
        <v>1337</v>
      </c>
      <c r="B1343" s="9">
        <f t="shared" si="81"/>
        <v>0.99980368258618657</v>
      </c>
      <c r="C1343" s="3">
        <f t="shared" si="82"/>
        <v>4440728.0365748061</v>
      </c>
      <c r="D1343" s="3">
        <f t="shared" si="83"/>
        <v>2.1589665217325091</v>
      </c>
      <c r="E1343" s="8">
        <f t="shared" si="80"/>
        <v>191</v>
      </c>
    </row>
    <row r="1344" spans="1:5" ht="18.5" x14ac:dyDescent="0.45">
      <c r="A1344" s="3">
        <v>1338</v>
      </c>
      <c r="B1344" s="9">
        <f t="shared" si="81"/>
        <v>0.99980416718059606</v>
      </c>
      <c r="C1344" s="3">
        <f t="shared" si="82"/>
        <v>4440730.1889493354</v>
      </c>
      <c r="D1344" s="3">
        <f t="shared" si="83"/>
        <v>2.1523745292797685</v>
      </c>
      <c r="E1344" s="8">
        <f t="shared" si="80"/>
        <v>191.14285714285714</v>
      </c>
    </row>
    <row r="1345" spans="1:5" ht="18.5" x14ac:dyDescent="0.45">
      <c r="A1345" s="3">
        <v>1339</v>
      </c>
      <c r="B1345" s="9">
        <f t="shared" si="81"/>
        <v>0.99980465029628807</v>
      </c>
      <c r="C1345" s="3">
        <f t="shared" si="82"/>
        <v>4440732.3347559934</v>
      </c>
      <c r="D1345" s="3">
        <f t="shared" si="83"/>
        <v>2.1458066580817103</v>
      </c>
      <c r="E1345" s="8">
        <f t="shared" si="80"/>
        <v>191.28571428571428</v>
      </c>
    </row>
    <row r="1346" spans="1:5" ht="18.5" x14ac:dyDescent="0.45">
      <c r="A1346" s="3">
        <v>1340</v>
      </c>
      <c r="B1346" s="9">
        <f t="shared" si="81"/>
        <v>0.99980513193867004</v>
      </c>
      <c r="C1346" s="3">
        <f t="shared" si="82"/>
        <v>4440734.4740187973</v>
      </c>
      <c r="D1346" s="3">
        <f t="shared" si="83"/>
        <v>2.1392628038302064</v>
      </c>
      <c r="E1346" s="8">
        <f t="shared" si="80"/>
        <v>191.42857142857142</v>
      </c>
    </row>
    <row r="1347" spans="1:5" ht="18.5" x14ac:dyDescent="0.45">
      <c r="A1347" s="3">
        <v>1341</v>
      </c>
      <c r="B1347" s="9">
        <f t="shared" si="81"/>
        <v>0.99980561211312657</v>
      </c>
      <c r="C1347" s="3">
        <f t="shared" si="82"/>
        <v>4440736.6067616632</v>
      </c>
      <c r="D1347" s="3">
        <f t="shared" si="83"/>
        <v>2.1327428659424186</v>
      </c>
      <c r="E1347" s="8">
        <f t="shared" si="80"/>
        <v>191.57142857142858</v>
      </c>
    </row>
    <row r="1348" spans="1:5" ht="18.5" x14ac:dyDescent="0.45">
      <c r="A1348" s="3">
        <v>1342</v>
      </c>
      <c r="B1348" s="9">
        <f t="shared" si="81"/>
        <v>0.99980609082501903</v>
      </c>
      <c r="C1348" s="3">
        <f t="shared" si="82"/>
        <v>4440738.7330084043</v>
      </c>
      <c r="D1348" s="3">
        <f t="shared" si="83"/>
        <v>2.1262467410415411</v>
      </c>
      <c r="E1348" s="8">
        <f t="shared" si="80"/>
        <v>191.71428571428572</v>
      </c>
    </row>
    <row r="1349" spans="1:5" ht="18.5" x14ac:dyDescent="0.45">
      <c r="A1349" s="3">
        <v>1343</v>
      </c>
      <c r="B1349" s="9">
        <f t="shared" si="81"/>
        <v>0.99980656807968571</v>
      </c>
      <c r="C1349" s="3">
        <f t="shared" si="82"/>
        <v>4440740.8527827319</v>
      </c>
      <c r="D1349" s="3">
        <f t="shared" si="83"/>
        <v>2.1197743276134133</v>
      </c>
      <c r="E1349" s="8">
        <f t="shared" si="80"/>
        <v>191.85714285714286</v>
      </c>
    </row>
    <row r="1350" spans="1:5" ht="18.5" x14ac:dyDescent="0.45">
      <c r="A1350" s="3">
        <v>1344</v>
      </c>
      <c r="B1350" s="9">
        <f t="shared" si="81"/>
        <v>0.99980704388244246</v>
      </c>
      <c r="C1350" s="3">
        <f t="shared" si="82"/>
        <v>4440742.966108256</v>
      </c>
      <c r="D1350" s="3">
        <f t="shared" si="83"/>
        <v>2.1133255241438746</v>
      </c>
      <c r="E1350" s="8">
        <f t="shared" si="80"/>
        <v>192</v>
      </c>
    </row>
    <row r="1351" spans="1:5" ht="18.5" x14ac:dyDescent="0.45">
      <c r="A1351" s="3">
        <v>1345</v>
      </c>
      <c r="B1351" s="9">
        <f t="shared" si="81"/>
        <v>0.99980751823858205</v>
      </c>
      <c r="C1351" s="3">
        <f t="shared" si="82"/>
        <v>4440745.0730084861</v>
      </c>
      <c r="D1351" s="3">
        <f t="shared" si="83"/>
        <v>2.106900230050087</v>
      </c>
      <c r="E1351" s="8">
        <f t="shared" ref="E1351:E1414" si="84">A1351/7</f>
        <v>192.14285714285714</v>
      </c>
    </row>
    <row r="1352" spans="1:5" ht="18.5" x14ac:dyDescent="0.45">
      <c r="A1352" s="3">
        <v>1346</v>
      </c>
      <c r="B1352" s="9">
        <f t="shared" ref="B1352:B1415" si="85">LOGNORMDIST(A1352,$A$3,$B$3)</f>
        <v>0.99980799115337515</v>
      </c>
      <c r="C1352" s="3">
        <f t="shared" ref="C1352:C1415" si="86">$E$3*B1352</f>
        <v>4440747.1735068308</v>
      </c>
      <c r="D1352" s="3">
        <f t="shared" ref="D1352:D1415" si="87">C1352-C1351</f>
        <v>2.1004983447492123</v>
      </c>
      <c r="E1352" s="8">
        <f t="shared" si="84"/>
        <v>192.28571428571428</v>
      </c>
    </row>
    <row r="1353" spans="1:5" ht="18.5" x14ac:dyDescent="0.45">
      <c r="A1353" s="3">
        <v>1347</v>
      </c>
      <c r="B1353" s="9">
        <f t="shared" si="85"/>
        <v>0.99980846263206946</v>
      </c>
      <c r="C1353" s="3">
        <f t="shared" si="86"/>
        <v>4440749.2676265994</v>
      </c>
      <c r="D1353" s="3">
        <f t="shared" si="87"/>
        <v>2.094119768589735</v>
      </c>
      <c r="E1353" s="8">
        <f t="shared" si="84"/>
        <v>192.42857142857142</v>
      </c>
    </row>
    <row r="1354" spans="1:5" ht="18.5" x14ac:dyDescent="0.45">
      <c r="A1354" s="3">
        <v>1348</v>
      </c>
      <c r="B1354" s="9">
        <f t="shared" si="85"/>
        <v>0.99980893267989068</v>
      </c>
      <c r="C1354" s="3">
        <f t="shared" si="86"/>
        <v>4440751.3553910023</v>
      </c>
      <c r="D1354" s="3">
        <f t="shared" si="87"/>
        <v>2.0877644028514624</v>
      </c>
      <c r="E1354" s="8">
        <f t="shared" si="84"/>
        <v>192.57142857142858</v>
      </c>
    </row>
    <row r="1355" spans="1:5" ht="18.5" x14ac:dyDescent="0.45">
      <c r="A1355" s="3">
        <v>1349</v>
      </c>
      <c r="B1355" s="9">
        <f t="shared" si="85"/>
        <v>0.99980940130204221</v>
      </c>
      <c r="C1355" s="3">
        <f t="shared" si="86"/>
        <v>4440753.4368231511</v>
      </c>
      <c r="D1355" s="3">
        <f t="shared" si="87"/>
        <v>2.0814321488142014</v>
      </c>
      <c r="E1355" s="8">
        <f t="shared" si="84"/>
        <v>192.71428571428572</v>
      </c>
    </row>
    <row r="1356" spans="1:5" ht="18.5" x14ac:dyDescent="0.45">
      <c r="A1356" s="3">
        <v>1350</v>
      </c>
      <c r="B1356" s="9">
        <f t="shared" si="85"/>
        <v>0.99980986850370501</v>
      </c>
      <c r="C1356" s="3">
        <f t="shared" si="86"/>
        <v>4440755.511946056</v>
      </c>
      <c r="D1356" s="3">
        <f t="shared" si="87"/>
        <v>2.0751229049637914</v>
      </c>
      <c r="E1356" s="8">
        <f t="shared" si="84"/>
        <v>192.85714285714286</v>
      </c>
    </row>
    <row r="1357" spans="1:5" ht="18.5" x14ac:dyDescent="0.45">
      <c r="A1357" s="3">
        <v>1351</v>
      </c>
      <c r="B1357" s="9">
        <f t="shared" si="85"/>
        <v>0.9998103342900384</v>
      </c>
      <c r="C1357" s="3">
        <f t="shared" si="86"/>
        <v>4440757.5807826342</v>
      </c>
      <c r="D1357" s="3">
        <f t="shared" si="87"/>
        <v>2.0688365781679749</v>
      </c>
      <c r="E1357" s="8">
        <f t="shared" si="84"/>
        <v>193</v>
      </c>
    </row>
    <row r="1358" spans="1:5" ht="18.5" x14ac:dyDescent="0.45">
      <c r="A1358" s="3">
        <v>1352</v>
      </c>
      <c r="B1358" s="9">
        <f t="shared" si="85"/>
        <v>0.9998107986661795</v>
      </c>
      <c r="C1358" s="3">
        <f t="shared" si="86"/>
        <v>4440759.643355703</v>
      </c>
      <c r="D1358" s="3">
        <f t="shared" si="87"/>
        <v>2.0625730687752366</v>
      </c>
      <c r="E1358" s="8">
        <f t="shared" si="84"/>
        <v>193.14285714285714</v>
      </c>
    </row>
    <row r="1359" spans="1:5" ht="18.5" x14ac:dyDescent="0.45">
      <c r="A1359" s="3">
        <v>1353</v>
      </c>
      <c r="B1359" s="9">
        <f t="shared" si="85"/>
        <v>0.99981126163724388</v>
      </c>
      <c r="C1359" s="3">
        <f t="shared" si="86"/>
        <v>4440761.699687982</v>
      </c>
      <c r="D1359" s="3">
        <f t="shared" si="87"/>
        <v>2.056332278996706</v>
      </c>
      <c r="E1359" s="8">
        <f t="shared" si="84"/>
        <v>193.28571428571428</v>
      </c>
    </row>
    <row r="1360" spans="1:5" ht="18.5" x14ac:dyDescent="0.45">
      <c r="A1360" s="3">
        <v>1354</v>
      </c>
      <c r="B1360" s="9">
        <f t="shared" si="85"/>
        <v>0.99981172320832512</v>
      </c>
      <c r="C1360" s="3">
        <f t="shared" si="86"/>
        <v>4440763.7498020967</v>
      </c>
      <c r="D1360" s="3">
        <f t="shared" si="87"/>
        <v>2.0501141147688031</v>
      </c>
      <c r="E1360" s="8">
        <f t="shared" si="84"/>
        <v>193.42857142857142</v>
      </c>
    </row>
    <row r="1361" spans="1:5" ht="18.5" x14ac:dyDescent="0.45">
      <c r="A1361" s="3">
        <v>1355</v>
      </c>
      <c r="B1361" s="9">
        <f t="shared" si="85"/>
        <v>0.9998121833844954</v>
      </c>
      <c r="C1361" s="3">
        <f t="shared" si="86"/>
        <v>4440765.793720575</v>
      </c>
      <c r="D1361" s="3">
        <f t="shared" si="87"/>
        <v>2.0439184783026576</v>
      </c>
      <c r="E1361" s="8">
        <f t="shared" si="84"/>
        <v>193.57142857142858</v>
      </c>
    </row>
    <row r="1362" spans="1:5" ht="18.5" x14ac:dyDescent="0.45">
      <c r="A1362" s="3">
        <v>1356</v>
      </c>
      <c r="B1362" s="9">
        <f t="shared" si="85"/>
        <v>0.99981264217080523</v>
      </c>
      <c r="C1362" s="3">
        <f t="shared" si="86"/>
        <v>4440767.8314658487</v>
      </c>
      <c r="D1362" s="3">
        <f t="shared" si="87"/>
        <v>2.0377452736720443</v>
      </c>
      <c r="E1362" s="8">
        <f t="shared" si="84"/>
        <v>193.71428571428572</v>
      </c>
    </row>
    <row r="1363" spans="1:5" ht="18.5" x14ac:dyDescent="0.45">
      <c r="A1363" s="3">
        <v>1357</v>
      </c>
      <c r="B1363" s="9">
        <f t="shared" si="85"/>
        <v>0.99981309957228393</v>
      </c>
      <c r="C1363" s="3">
        <f t="shared" si="86"/>
        <v>4440769.8630602565</v>
      </c>
      <c r="D1363" s="3">
        <f t="shared" si="87"/>
        <v>2.0315944077447057</v>
      </c>
      <c r="E1363" s="8">
        <f t="shared" si="84"/>
        <v>193.85714285714286</v>
      </c>
    </row>
    <row r="1364" spans="1:5" ht="18.5" x14ac:dyDescent="0.45">
      <c r="A1364" s="3">
        <v>1358</v>
      </c>
      <c r="B1364" s="9">
        <f t="shared" si="85"/>
        <v>0.99981355559393925</v>
      </c>
      <c r="C1364" s="3">
        <f t="shared" si="86"/>
        <v>4440771.8885260401</v>
      </c>
      <c r="D1364" s="3">
        <f t="shared" si="87"/>
        <v>2.025465783663094</v>
      </c>
      <c r="E1364" s="8">
        <f t="shared" si="84"/>
        <v>194</v>
      </c>
    </row>
    <row r="1365" spans="1:5" ht="18.5" x14ac:dyDescent="0.45">
      <c r="A1365" s="3">
        <v>1359</v>
      </c>
      <c r="B1365" s="9">
        <f t="shared" si="85"/>
        <v>0.99981401024075811</v>
      </c>
      <c r="C1365" s="3">
        <f t="shared" si="86"/>
        <v>4440773.9078853512</v>
      </c>
      <c r="D1365" s="3">
        <f t="shared" si="87"/>
        <v>2.0193593110889196</v>
      </c>
      <c r="E1365" s="8">
        <f t="shared" si="84"/>
        <v>194.14285714285714</v>
      </c>
    </row>
    <row r="1366" spans="1:5" ht="18.5" x14ac:dyDescent="0.45">
      <c r="A1366" s="3">
        <v>1360</v>
      </c>
      <c r="B1366" s="9">
        <f t="shared" si="85"/>
        <v>0.99981446351770609</v>
      </c>
      <c r="C1366" s="3">
        <f t="shared" si="86"/>
        <v>4440775.9211602435</v>
      </c>
      <c r="D1366" s="3">
        <f t="shared" si="87"/>
        <v>2.0132748922333121</v>
      </c>
      <c r="E1366" s="8">
        <f t="shared" si="84"/>
        <v>194.28571428571428</v>
      </c>
    </row>
    <row r="1367" spans="1:5" ht="18.5" x14ac:dyDescent="0.45">
      <c r="A1367" s="3">
        <v>1361</v>
      </c>
      <c r="B1367" s="9">
        <f t="shared" si="85"/>
        <v>0.99981491542972778</v>
      </c>
      <c r="C1367" s="3">
        <f t="shared" si="86"/>
        <v>4440777.9283726793</v>
      </c>
      <c r="D1367" s="3">
        <f t="shared" si="87"/>
        <v>2.0072124358266592</v>
      </c>
      <c r="E1367" s="8">
        <f t="shared" si="84"/>
        <v>194.42857142857142</v>
      </c>
    </row>
    <row r="1368" spans="1:5" ht="18.5" x14ac:dyDescent="0.45">
      <c r="A1368" s="3">
        <v>1362</v>
      </c>
      <c r="B1368" s="9">
        <f t="shared" si="85"/>
        <v>0.99981536598174714</v>
      </c>
      <c r="C1368" s="3">
        <f t="shared" si="86"/>
        <v>4440779.929544528</v>
      </c>
      <c r="D1368" s="3">
        <f t="shared" si="87"/>
        <v>2.0011718487367034</v>
      </c>
      <c r="E1368" s="8">
        <f t="shared" si="84"/>
        <v>194.57142857142858</v>
      </c>
    </row>
    <row r="1369" spans="1:5" ht="18.5" x14ac:dyDescent="0.45">
      <c r="A1369" s="3">
        <v>1363</v>
      </c>
      <c r="B1369" s="9">
        <f t="shared" si="85"/>
        <v>0.99981581517866691</v>
      </c>
      <c r="C1369" s="3">
        <f t="shared" si="86"/>
        <v>4440781.9246975668</v>
      </c>
      <c r="D1369" s="3">
        <f t="shared" si="87"/>
        <v>1.9951530387625098</v>
      </c>
      <c r="E1369" s="8">
        <f t="shared" si="84"/>
        <v>194.71428571428572</v>
      </c>
    </row>
    <row r="1370" spans="1:5" ht="18.5" x14ac:dyDescent="0.45">
      <c r="A1370" s="3">
        <v>1364</v>
      </c>
      <c r="B1370" s="9">
        <f t="shared" si="85"/>
        <v>0.99981626302536963</v>
      </c>
      <c r="C1370" s="3">
        <f t="shared" si="86"/>
        <v>4440783.9138534814</v>
      </c>
      <c r="D1370" s="3">
        <f t="shared" si="87"/>
        <v>1.9891559146344662</v>
      </c>
      <c r="E1370" s="8">
        <f t="shared" si="84"/>
        <v>194.85714285714286</v>
      </c>
    </row>
    <row r="1371" spans="1:5" ht="18.5" x14ac:dyDescent="0.45">
      <c r="A1371" s="3">
        <v>1365</v>
      </c>
      <c r="B1371" s="9">
        <f t="shared" si="85"/>
        <v>0.99981670952671697</v>
      </c>
      <c r="C1371" s="3">
        <f t="shared" si="86"/>
        <v>4440785.8970338665</v>
      </c>
      <c r="D1371" s="3">
        <f t="shared" si="87"/>
        <v>1.9831803850829601</v>
      </c>
      <c r="E1371" s="8">
        <f t="shared" si="84"/>
        <v>195</v>
      </c>
    </row>
    <row r="1372" spans="1:5" ht="18.5" x14ac:dyDescent="0.45">
      <c r="A1372" s="3">
        <v>1366</v>
      </c>
      <c r="B1372" s="9">
        <f t="shared" si="85"/>
        <v>0.99981715468755028</v>
      </c>
      <c r="C1372" s="3">
        <f t="shared" si="86"/>
        <v>4440787.8742602235</v>
      </c>
      <c r="D1372" s="3">
        <f t="shared" si="87"/>
        <v>1.9772263569757342</v>
      </c>
      <c r="E1372" s="8">
        <f t="shared" si="84"/>
        <v>195.14285714285714</v>
      </c>
    </row>
    <row r="1373" spans="1:5" ht="18.5" x14ac:dyDescent="0.45">
      <c r="A1373" s="3">
        <v>1367</v>
      </c>
      <c r="B1373" s="9">
        <f t="shared" si="85"/>
        <v>0.99981759851269036</v>
      </c>
      <c r="C1373" s="3">
        <f t="shared" si="86"/>
        <v>4440789.8455539653</v>
      </c>
      <c r="D1373" s="3">
        <f t="shared" si="87"/>
        <v>1.9712937418371439</v>
      </c>
      <c r="E1373" s="8">
        <f t="shared" si="84"/>
        <v>195.28571428571428</v>
      </c>
    </row>
    <row r="1374" spans="1:5" ht="18.5" x14ac:dyDescent="0.45">
      <c r="A1374" s="3">
        <v>1368</v>
      </c>
      <c r="B1374" s="9">
        <f t="shared" si="85"/>
        <v>0.99981804100693783</v>
      </c>
      <c r="C1374" s="3">
        <f t="shared" si="86"/>
        <v>4440791.8109364146</v>
      </c>
      <c r="D1374" s="3">
        <f t="shared" si="87"/>
        <v>1.9653824493288994</v>
      </c>
      <c r="E1374" s="8">
        <f t="shared" si="84"/>
        <v>195.42857142857142</v>
      </c>
    </row>
    <row r="1375" spans="1:5" ht="18.5" x14ac:dyDescent="0.45">
      <c r="A1375" s="3">
        <v>1369</v>
      </c>
      <c r="B1375" s="9">
        <f t="shared" si="85"/>
        <v>0.99981848217507319</v>
      </c>
      <c r="C1375" s="3">
        <f t="shared" si="86"/>
        <v>4440793.7704288047</v>
      </c>
      <c r="D1375" s="3">
        <f t="shared" si="87"/>
        <v>1.9594923900440335</v>
      </c>
      <c r="E1375" s="8">
        <f t="shared" si="84"/>
        <v>195.57142857142858</v>
      </c>
    </row>
    <row r="1376" spans="1:5" ht="18.5" x14ac:dyDescent="0.45">
      <c r="A1376" s="3">
        <v>1370</v>
      </c>
      <c r="B1376" s="9">
        <f t="shared" si="85"/>
        <v>0.99981892202185663</v>
      </c>
      <c r="C1376" s="3">
        <f t="shared" si="86"/>
        <v>4440795.7240522783</v>
      </c>
      <c r="D1376" s="3">
        <f t="shared" si="87"/>
        <v>1.9536234736442566</v>
      </c>
      <c r="E1376" s="8">
        <f t="shared" si="84"/>
        <v>195.71428571428572</v>
      </c>
    </row>
    <row r="1377" spans="1:5" ht="18.5" x14ac:dyDescent="0.45">
      <c r="A1377" s="3">
        <v>1371</v>
      </c>
      <c r="B1377" s="9">
        <f t="shared" si="85"/>
        <v>0.99981936055202869</v>
      </c>
      <c r="C1377" s="3">
        <f t="shared" si="86"/>
        <v>4440797.6718278909</v>
      </c>
      <c r="D1377" s="3">
        <f t="shared" si="87"/>
        <v>1.9477756125852466</v>
      </c>
      <c r="E1377" s="8">
        <f t="shared" si="84"/>
        <v>195.85714285714286</v>
      </c>
    </row>
    <row r="1378" spans="1:5" ht="18.5" x14ac:dyDescent="0.45">
      <c r="A1378" s="3">
        <v>1372</v>
      </c>
      <c r="B1378" s="9">
        <f t="shared" si="85"/>
        <v>0.99981979777030983</v>
      </c>
      <c r="C1378" s="3">
        <f t="shared" si="86"/>
        <v>4440799.6137766084</v>
      </c>
      <c r="D1378" s="3">
        <f t="shared" si="87"/>
        <v>1.9419487174600363</v>
      </c>
      <c r="E1378" s="8">
        <f t="shared" si="84"/>
        <v>196</v>
      </c>
    </row>
    <row r="1379" spans="1:5" ht="18.5" x14ac:dyDescent="0.45">
      <c r="A1379" s="3">
        <v>1373</v>
      </c>
      <c r="B1379" s="9">
        <f t="shared" si="85"/>
        <v>0.99982023368140049</v>
      </c>
      <c r="C1379" s="3">
        <f t="shared" si="86"/>
        <v>4440801.5499193082</v>
      </c>
      <c r="D1379" s="3">
        <f t="shared" si="87"/>
        <v>1.9361426997929811</v>
      </c>
      <c r="E1379" s="8">
        <f t="shared" si="84"/>
        <v>196.14285714285714</v>
      </c>
    </row>
    <row r="1380" spans="1:5" ht="18.5" x14ac:dyDescent="0.45">
      <c r="A1380" s="3">
        <v>1374</v>
      </c>
      <c r="B1380" s="9">
        <f t="shared" si="85"/>
        <v>0.99982066828998184</v>
      </c>
      <c r="C1380" s="3">
        <f t="shared" si="86"/>
        <v>4440803.480276783</v>
      </c>
      <c r="D1380" s="3">
        <f t="shared" si="87"/>
        <v>1.9303574748337269</v>
      </c>
      <c r="E1380" s="8">
        <f t="shared" si="84"/>
        <v>196.28571428571428</v>
      </c>
    </row>
    <row r="1381" spans="1:5" ht="18.5" x14ac:dyDescent="0.45">
      <c r="A1381" s="3">
        <v>1375</v>
      </c>
      <c r="B1381" s="9">
        <f t="shared" si="85"/>
        <v>0.99982110160071525</v>
      </c>
      <c r="C1381" s="3">
        <f t="shared" si="86"/>
        <v>4440805.4048697371</v>
      </c>
      <c r="D1381" s="3">
        <f t="shared" si="87"/>
        <v>1.9245929541066289</v>
      </c>
      <c r="E1381" s="8">
        <f t="shared" si="84"/>
        <v>196.42857142857142</v>
      </c>
    </row>
    <row r="1382" spans="1:5" ht="18.5" x14ac:dyDescent="0.45">
      <c r="A1382" s="3">
        <v>1376</v>
      </c>
      <c r="B1382" s="9">
        <f t="shared" si="85"/>
        <v>0.99982153361824244</v>
      </c>
      <c r="C1382" s="3">
        <f t="shared" si="86"/>
        <v>4440807.3237187853</v>
      </c>
      <c r="D1382" s="3">
        <f t="shared" si="87"/>
        <v>1.91884904820472</v>
      </c>
      <c r="E1382" s="8">
        <f t="shared" si="84"/>
        <v>196.57142857142858</v>
      </c>
    </row>
    <row r="1383" spans="1:5" ht="18.5" x14ac:dyDescent="0.45">
      <c r="A1383" s="3">
        <v>1377</v>
      </c>
      <c r="B1383" s="9">
        <f t="shared" si="85"/>
        <v>0.99982196434718595</v>
      </c>
      <c r="C1383" s="3">
        <f t="shared" si="86"/>
        <v>4440809.2368444614</v>
      </c>
      <c r="D1383" s="3">
        <f t="shared" si="87"/>
        <v>1.9131256761029363</v>
      </c>
      <c r="E1383" s="8">
        <f t="shared" si="84"/>
        <v>196.71428571428572</v>
      </c>
    </row>
    <row r="1384" spans="1:5" ht="18.5" x14ac:dyDescent="0.45">
      <c r="A1384" s="3">
        <v>1378</v>
      </c>
      <c r="B1384" s="9">
        <f t="shared" si="85"/>
        <v>0.99982239379214888</v>
      </c>
      <c r="C1384" s="3">
        <f t="shared" si="86"/>
        <v>4440811.1442672089</v>
      </c>
      <c r="D1384" s="3">
        <f t="shared" si="87"/>
        <v>1.9074227474629879</v>
      </c>
      <c r="E1384" s="8">
        <f t="shared" si="84"/>
        <v>196.85714285714286</v>
      </c>
    </row>
    <row r="1385" spans="1:5" ht="18.5" x14ac:dyDescent="0.45">
      <c r="A1385" s="3">
        <v>1379</v>
      </c>
      <c r="B1385" s="9">
        <f t="shared" si="85"/>
        <v>0.99982282195771499</v>
      </c>
      <c r="C1385" s="3">
        <f t="shared" si="86"/>
        <v>4440813.0460073873</v>
      </c>
      <c r="D1385" s="3">
        <f t="shared" si="87"/>
        <v>1.9017401784658432</v>
      </c>
      <c r="E1385" s="8">
        <f t="shared" si="84"/>
        <v>197</v>
      </c>
    </row>
    <row r="1386" spans="1:5" ht="18.5" x14ac:dyDescent="0.45">
      <c r="A1386" s="3">
        <v>1380</v>
      </c>
      <c r="B1386" s="9">
        <f t="shared" si="85"/>
        <v>0.99982324884844909</v>
      </c>
      <c r="C1386" s="3">
        <f t="shared" si="86"/>
        <v>4440814.9420852717</v>
      </c>
      <c r="D1386" s="3">
        <f t="shared" si="87"/>
        <v>1.8960778843611479</v>
      </c>
      <c r="E1386" s="8">
        <f t="shared" si="84"/>
        <v>197.14285714285714</v>
      </c>
    </row>
    <row r="1387" spans="1:5" ht="18.5" x14ac:dyDescent="0.45">
      <c r="A1387" s="3">
        <v>1381</v>
      </c>
      <c r="B1387" s="9">
        <f t="shared" si="85"/>
        <v>0.99982367446889686</v>
      </c>
      <c r="C1387" s="3">
        <f t="shared" si="86"/>
        <v>4440816.8325210521</v>
      </c>
      <c r="D1387" s="3">
        <f t="shared" si="87"/>
        <v>1.8904357803985476</v>
      </c>
      <c r="E1387" s="8">
        <f t="shared" si="84"/>
        <v>197.28571428571428</v>
      </c>
    </row>
    <row r="1388" spans="1:5" ht="18.5" x14ac:dyDescent="0.45">
      <c r="A1388" s="3">
        <v>1382</v>
      </c>
      <c r="B1388" s="9">
        <f t="shared" si="85"/>
        <v>0.99982409882358503</v>
      </c>
      <c r="C1388" s="3">
        <f t="shared" si="86"/>
        <v>4440818.7173348349</v>
      </c>
      <c r="D1388" s="3">
        <f t="shared" si="87"/>
        <v>1.8848137827590108</v>
      </c>
      <c r="E1388" s="8">
        <f t="shared" si="84"/>
        <v>197.42857142857142</v>
      </c>
    </row>
    <row r="1389" spans="1:5" ht="18.5" x14ac:dyDescent="0.45">
      <c r="A1389" s="3">
        <v>1383</v>
      </c>
      <c r="B1389" s="9">
        <f t="shared" si="85"/>
        <v>0.99982452191702154</v>
      </c>
      <c r="C1389" s="3">
        <f t="shared" si="86"/>
        <v>4440820.5965466425</v>
      </c>
      <c r="D1389" s="3">
        <f t="shared" si="87"/>
        <v>1.8792118076235056</v>
      </c>
      <c r="E1389" s="8">
        <f t="shared" si="84"/>
        <v>197.57142857142858</v>
      </c>
    </row>
    <row r="1390" spans="1:5" ht="18.5" x14ac:dyDescent="0.45">
      <c r="A1390" s="3">
        <v>1384</v>
      </c>
      <c r="B1390" s="9">
        <f t="shared" si="85"/>
        <v>0.99982494375369524</v>
      </c>
      <c r="C1390" s="3">
        <f t="shared" si="86"/>
        <v>4440822.4701764127</v>
      </c>
      <c r="D1390" s="3">
        <f t="shared" si="87"/>
        <v>1.8736297702416778</v>
      </c>
      <c r="E1390" s="8">
        <f t="shared" si="84"/>
        <v>197.71428571428572</v>
      </c>
    </row>
    <row r="1391" spans="1:5" ht="18.5" x14ac:dyDescent="0.45">
      <c r="A1391" s="3">
        <v>1385</v>
      </c>
      <c r="B1391" s="9">
        <f t="shared" si="85"/>
        <v>0.99982536433807689</v>
      </c>
      <c r="C1391" s="3">
        <f t="shared" si="86"/>
        <v>4440824.3382440023</v>
      </c>
      <c r="D1391" s="3">
        <f t="shared" si="87"/>
        <v>1.8680675895884633</v>
      </c>
      <c r="E1391" s="8">
        <f t="shared" si="84"/>
        <v>197.85714285714286</v>
      </c>
    </row>
    <row r="1392" spans="1:5" ht="18.5" x14ac:dyDescent="0.45">
      <c r="A1392" s="3">
        <v>1386</v>
      </c>
      <c r="B1392" s="9">
        <f t="shared" si="85"/>
        <v>0.99982578367461794</v>
      </c>
      <c r="C1392" s="3">
        <f t="shared" si="86"/>
        <v>4440826.2007691832</v>
      </c>
      <c r="D1392" s="3">
        <f t="shared" si="87"/>
        <v>1.8625251809135079</v>
      </c>
      <c r="E1392" s="8">
        <f t="shared" si="84"/>
        <v>198</v>
      </c>
    </row>
    <row r="1393" spans="1:5" ht="18.5" x14ac:dyDescent="0.45">
      <c r="A1393" s="3">
        <v>1387</v>
      </c>
      <c r="B1393" s="9">
        <f t="shared" si="85"/>
        <v>0.99982620176775194</v>
      </c>
      <c r="C1393" s="3">
        <f t="shared" si="86"/>
        <v>4440828.0577716473</v>
      </c>
      <c r="D1393" s="3">
        <f t="shared" si="87"/>
        <v>1.8570024641230702</v>
      </c>
      <c r="E1393" s="8">
        <f t="shared" si="84"/>
        <v>198.14285714285714</v>
      </c>
    </row>
    <row r="1394" spans="1:5" ht="18.5" x14ac:dyDescent="0.45">
      <c r="A1394" s="3">
        <v>1388</v>
      </c>
      <c r="B1394" s="9">
        <f t="shared" si="85"/>
        <v>0.99982661862189359</v>
      </c>
      <c r="C1394" s="3">
        <f t="shared" si="86"/>
        <v>4440829.9092710027</v>
      </c>
      <c r="D1394" s="3">
        <f t="shared" si="87"/>
        <v>1.8514993553981185</v>
      </c>
      <c r="E1394" s="8">
        <f t="shared" si="84"/>
        <v>198.28571428571428</v>
      </c>
    </row>
    <row r="1395" spans="1:5" ht="18.5" x14ac:dyDescent="0.45">
      <c r="A1395" s="3">
        <v>1389</v>
      </c>
      <c r="B1395" s="9">
        <f t="shared" si="85"/>
        <v>0.99982703424143959</v>
      </c>
      <c r="C1395" s="3">
        <f t="shared" si="86"/>
        <v>4440831.7552867783</v>
      </c>
      <c r="D1395" s="3">
        <f t="shared" si="87"/>
        <v>1.8460157755762339</v>
      </c>
      <c r="E1395" s="8">
        <f t="shared" si="84"/>
        <v>198.42857142857142</v>
      </c>
    </row>
    <row r="1396" spans="1:5" ht="18.5" x14ac:dyDescent="0.45">
      <c r="A1396" s="3">
        <v>1390</v>
      </c>
      <c r="B1396" s="9">
        <f t="shared" si="85"/>
        <v>0.99982744863076811</v>
      </c>
      <c r="C1396" s="3">
        <f t="shared" si="86"/>
        <v>4440833.5958384201</v>
      </c>
      <c r="D1396" s="3">
        <f t="shared" si="87"/>
        <v>1.8405516417697072</v>
      </c>
      <c r="E1396" s="8">
        <f t="shared" si="84"/>
        <v>198.57142857142858</v>
      </c>
    </row>
    <row r="1397" spans="1:5" ht="18.5" x14ac:dyDescent="0.45">
      <c r="A1397" s="3">
        <v>1391</v>
      </c>
      <c r="B1397" s="9">
        <f t="shared" si="85"/>
        <v>0.99982786179423933</v>
      </c>
      <c r="C1397" s="3">
        <f t="shared" si="86"/>
        <v>4440835.430945293</v>
      </c>
      <c r="D1397" s="3">
        <f t="shared" si="87"/>
        <v>1.8351068729534745</v>
      </c>
      <c r="E1397" s="8">
        <f t="shared" si="84"/>
        <v>198.71428571428572</v>
      </c>
    </row>
    <row r="1398" spans="1:5" ht="18.5" x14ac:dyDescent="0.45">
      <c r="A1398" s="3">
        <v>1392</v>
      </c>
      <c r="B1398" s="9">
        <f t="shared" si="85"/>
        <v>0.99982827373619532</v>
      </c>
      <c r="C1398" s="3">
        <f t="shared" si="86"/>
        <v>4440837.2606266849</v>
      </c>
      <c r="D1398" s="3">
        <f t="shared" si="87"/>
        <v>1.8296813918277621</v>
      </c>
      <c r="E1398" s="8">
        <f t="shared" si="84"/>
        <v>198.85714285714286</v>
      </c>
    </row>
    <row r="1399" spans="1:5" ht="18.5" x14ac:dyDescent="0.45">
      <c r="A1399" s="3">
        <v>1393</v>
      </c>
      <c r="B1399" s="9">
        <f t="shared" si="85"/>
        <v>0.99982868446096018</v>
      </c>
      <c r="C1399" s="3">
        <f t="shared" si="86"/>
        <v>4440839.0849018004</v>
      </c>
      <c r="D1399" s="3">
        <f t="shared" si="87"/>
        <v>1.8242751155048609</v>
      </c>
      <c r="E1399" s="8">
        <f t="shared" si="84"/>
        <v>199</v>
      </c>
    </row>
    <row r="1400" spans="1:5" ht="18.5" x14ac:dyDescent="0.45">
      <c r="A1400" s="3">
        <v>1394</v>
      </c>
      <c r="B1400" s="9">
        <f t="shared" si="85"/>
        <v>0.99982909397284014</v>
      </c>
      <c r="C1400" s="3">
        <f t="shared" si="86"/>
        <v>4440840.9037897671</v>
      </c>
      <c r="D1400" s="3">
        <f t="shared" si="87"/>
        <v>1.8188879666849971</v>
      </c>
      <c r="E1400" s="8">
        <f t="shared" si="84"/>
        <v>199.14285714285714</v>
      </c>
    </row>
    <row r="1401" spans="1:5" ht="18.5" x14ac:dyDescent="0.45">
      <c r="A1401" s="3">
        <v>1395</v>
      </c>
      <c r="B1401" s="9">
        <f t="shared" si="85"/>
        <v>0.99982950227612355</v>
      </c>
      <c r="C1401" s="3">
        <f t="shared" si="86"/>
        <v>4440842.7173096305</v>
      </c>
      <c r="D1401" s="3">
        <f t="shared" si="87"/>
        <v>1.8135198634117842</v>
      </c>
      <c r="E1401" s="8">
        <f t="shared" si="84"/>
        <v>199.28571428571428</v>
      </c>
    </row>
    <row r="1402" spans="1:5" ht="18.5" x14ac:dyDescent="0.45">
      <c r="A1402" s="3">
        <v>1396</v>
      </c>
      <c r="B1402" s="9">
        <f t="shared" si="85"/>
        <v>0.99982990937508098</v>
      </c>
      <c r="C1402" s="3">
        <f t="shared" si="86"/>
        <v>4440844.5254803598</v>
      </c>
      <c r="D1402" s="3">
        <f t="shared" si="87"/>
        <v>1.808170729316771</v>
      </c>
      <c r="E1402" s="8">
        <f t="shared" si="84"/>
        <v>199.42857142857142</v>
      </c>
    </row>
    <row r="1403" spans="1:5" ht="18.5" x14ac:dyDescent="0.45">
      <c r="A1403" s="3">
        <v>1397</v>
      </c>
      <c r="B1403" s="9">
        <f t="shared" si="85"/>
        <v>0.99983031527396549</v>
      </c>
      <c r="C1403" s="3">
        <f t="shared" si="86"/>
        <v>4440846.328320845</v>
      </c>
      <c r="D1403" s="3">
        <f t="shared" si="87"/>
        <v>1.8028404852375388</v>
      </c>
      <c r="E1403" s="8">
        <f t="shared" si="84"/>
        <v>199.57142857142858</v>
      </c>
    </row>
    <row r="1404" spans="1:5" ht="18.5" x14ac:dyDescent="0.45">
      <c r="A1404" s="3">
        <v>1398</v>
      </c>
      <c r="B1404" s="9">
        <f t="shared" si="85"/>
        <v>0.99983071997701245</v>
      </c>
      <c r="C1404" s="3">
        <f t="shared" si="86"/>
        <v>4440848.1258498989</v>
      </c>
      <c r="D1404" s="3">
        <f t="shared" si="87"/>
        <v>1.7975290538743138</v>
      </c>
      <c r="E1404" s="8">
        <f t="shared" si="84"/>
        <v>199.71428571428572</v>
      </c>
    </row>
    <row r="1405" spans="1:5" ht="18.5" x14ac:dyDescent="0.45">
      <c r="A1405" s="3">
        <v>1399</v>
      </c>
      <c r="B1405" s="9">
        <f t="shared" si="85"/>
        <v>0.99983112348843994</v>
      </c>
      <c r="C1405" s="3">
        <f t="shared" si="86"/>
        <v>4440849.918086255</v>
      </c>
      <c r="D1405" s="3">
        <f t="shared" si="87"/>
        <v>1.7922363560646772</v>
      </c>
      <c r="E1405" s="8">
        <f t="shared" si="84"/>
        <v>199.85714285714286</v>
      </c>
    </row>
    <row r="1406" spans="1:5" ht="18.5" x14ac:dyDescent="0.45">
      <c r="A1406" s="3">
        <v>1400</v>
      </c>
      <c r="B1406" s="9">
        <f t="shared" si="85"/>
        <v>0.99983152581244839</v>
      </c>
      <c r="C1406" s="3">
        <f t="shared" si="86"/>
        <v>4440851.7050485704</v>
      </c>
      <c r="D1406" s="3">
        <f t="shared" si="87"/>
        <v>1.7869623154401779</v>
      </c>
      <c r="E1406" s="8">
        <f t="shared" si="84"/>
        <v>200</v>
      </c>
    </row>
    <row r="1407" spans="1:5" ht="18.5" x14ac:dyDescent="0.45">
      <c r="A1407" s="3">
        <v>1401</v>
      </c>
      <c r="B1407" s="9">
        <f t="shared" si="85"/>
        <v>0.9998319269532211</v>
      </c>
      <c r="C1407" s="3">
        <f t="shared" si="86"/>
        <v>4440853.486755427</v>
      </c>
      <c r="D1407" s="3">
        <f t="shared" si="87"/>
        <v>1.7817068565636873</v>
      </c>
      <c r="E1407" s="8">
        <f t="shared" si="84"/>
        <v>200.14285714285714</v>
      </c>
    </row>
    <row r="1408" spans="1:5" ht="18.5" x14ac:dyDescent="0.45">
      <c r="A1408" s="3">
        <v>1402</v>
      </c>
      <c r="B1408" s="9">
        <f t="shared" si="85"/>
        <v>0.99983232691492419</v>
      </c>
      <c r="C1408" s="3">
        <f t="shared" si="86"/>
        <v>4440855.2632253272</v>
      </c>
      <c r="D1408" s="3">
        <f t="shared" si="87"/>
        <v>1.7764699002727866</v>
      </c>
      <c r="E1408" s="8">
        <f t="shared" si="84"/>
        <v>200.28571428571428</v>
      </c>
    </row>
    <row r="1409" spans="1:5" ht="18.5" x14ac:dyDescent="0.45">
      <c r="A1409" s="3">
        <v>1403</v>
      </c>
      <c r="B1409" s="9">
        <f t="shared" si="85"/>
        <v>0.99983272570170634</v>
      </c>
      <c r="C1409" s="3">
        <f t="shared" si="86"/>
        <v>4440857.0344766993</v>
      </c>
      <c r="D1409" s="3">
        <f t="shared" si="87"/>
        <v>1.7712513720616698</v>
      </c>
      <c r="E1409" s="8">
        <f t="shared" si="84"/>
        <v>200.42857142857142</v>
      </c>
    </row>
    <row r="1410" spans="1:5" ht="18.5" x14ac:dyDescent="0.45">
      <c r="A1410" s="3">
        <v>1404</v>
      </c>
      <c r="B1410" s="9">
        <f t="shared" si="85"/>
        <v>0.99983312331769936</v>
      </c>
      <c r="C1410" s="3">
        <f t="shared" si="86"/>
        <v>4440858.800527893</v>
      </c>
      <c r="D1410" s="3">
        <f t="shared" si="87"/>
        <v>1.7660511936992407</v>
      </c>
      <c r="E1410" s="8">
        <f t="shared" si="84"/>
        <v>200.57142857142858</v>
      </c>
    </row>
    <row r="1411" spans="1:5" ht="18.5" x14ac:dyDescent="0.45">
      <c r="A1411" s="3">
        <v>1405</v>
      </c>
      <c r="B1411" s="9">
        <f t="shared" si="85"/>
        <v>0.99983351976701818</v>
      </c>
      <c r="C1411" s="3">
        <f t="shared" si="86"/>
        <v>4440860.5613971883</v>
      </c>
      <c r="D1411" s="3">
        <f t="shared" si="87"/>
        <v>1.7608692953363061</v>
      </c>
      <c r="E1411" s="8">
        <f t="shared" si="84"/>
        <v>200.71428571428572</v>
      </c>
    </row>
    <row r="1412" spans="1:5" ht="18.5" x14ac:dyDescent="0.45">
      <c r="A1412" s="3">
        <v>1406</v>
      </c>
      <c r="B1412" s="9">
        <f t="shared" si="85"/>
        <v>0.99983391505376074</v>
      </c>
      <c r="C1412" s="3">
        <f t="shared" si="86"/>
        <v>4440862.3171027834</v>
      </c>
      <c r="D1412" s="3">
        <f t="shared" si="87"/>
        <v>1.7557055950164795</v>
      </c>
      <c r="E1412" s="8">
        <f t="shared" si="84"/>
        <v>200.85714285714286</v>
      </c>
    </row>
    <row r="1413" spans="1:5" ht="18.5" x14ac:dyDescent="0.45">
      <c r="A1413" s="3">
        <v>1407</v>
      </c>
      <c r="B1413" s="9">
        <f t="shared" si="85"/>
        <v>0.99983430918200789</v>
      </c>
      <c r="C1413" s="3">
        <f t="shared" si="86"/>
        <v>4440864.0676628063</v>
      </c>
      <c r="D1413" s="3">
        <f t="shared" si="87"/>
        <v>1.7505600228905678</v>
      </c>
      <c r="E1413" s="8">
        <f t="shared" si="84"/>
        <v>201</v>
      </c>
    </row>
    <row r="1414" spans="1:5" ht="18.5" x14ac:dyDescent="0.45">
      <c r="A1414" s="3">
        <v>1408</v>
      </c>
      <c r="B1414" s="9">
        <f t="shared" si="85"/>
        <v>0.99983470215582404</v>
      </c>
      <c r="C1414" s="3">
        <f t="shared" si="86"/>
        <v>4440865.8130953079</v>
      </c>
      <c r="D1414" s="3">
        <f t="shared" si="87"/>
        <v>1.7454325016587973</v>
      </c>
      <c r="E1414" s="8">
        <f t="shared" si="84"/>
        <v>201.14285714285714</v>
      </c>
    </row>
    <row r="1415" spans="1:5" ht="18.5" x14ac:dyDescent="0.45">
      <c r="A1415" s="3">
        <v>1409</v>
      </c>
      <c r="B1415" s="9">
        <f t="shared" si="85"/>
        <v>0.99983509397925685</v>
      </c>
      <c r="C1415" s="3">
        <f t="shared" si="86"/>
        <v>4440867.5534182675</v>
      </c>
      <c r="D1415" s="3">
        <f t="shared" si="87"/>
        <v>1.7403229596093297</v>
      </c>
      <c r="E1415" s="8">
        <f t="shared" ref="E1415:E1478" si="88">A1415/7</f>
        <v>201.28571428571428</v>
      </c>
    </row>
    <row r="1416" spans="1:5" ht="18.5" x14ac:dyDescent="0.45">
      <c r="A1416" s="3">
        <v>1410</v>
      </c>
      <c r="B1416" s="9">
        <f t="shared" ref="B1416:B1479" si="89">LOGNORMDIST(A1416,$A$3,$B$3)</f>
        <v>0.99983548465633743</v>
      </c>
      <c r="C1416" s="3">
        <f t="shared" ref="C1416:C1479" si="90">$E$3*B1416</f>
        <v>4440869.2886495879</v>
      </c>
      <c r="D1416" s="3">
        <f t="shared" ref="D1416:D1479" si="91">C1416-C1415</f>
        <v>1.735231320373714</v>
      </c>
      <c r="E1416" s="8">
        <f t="shared" si="88"/>
        <v>201.42857142857142</v>
      </c>
    </row>
    <row r="1417" spans="1:5" ht="18.5" x14ac:dyDescent="0.45">
      <c r="A1417" s="3">
        <v>1411</v>
      </c>
      <c r="B1417" s="9">
        <f t="shared" si="89"/>
        <v>0.99983587419108022</v>
      </c>
      <c r="C1417" s="3">
        <f t="shared" si="90"/>
        <v>4440871.018807102</v>
      </c>
      <c r="D1417" s="3">
        <f t="shared" si="91"/>
        <v>1.730157514102757</v>
      </c>
      <c r="E1417" s="8">
        <f t="shared" si="88"/>
        <v>201.57142857142858</v>
      </c>
    </row>
    <row r="1418" spans="1:5" ht="18.5" x14ac:dyDescent="0.45">
      <c r="A1418" s="3">
        <v>1412</v>
      </c>
      <c r="B1418" s="9">
        <f t="shared" si="89"/>
        <v>0.99983626258748348</v>
      </c>
      <c r="C1418" s="3">
        <f t="shared" si="90"/>
        <v>4440872.7439085664</v>
      </c>
      <c r="D1418" s="3">
        <f t="shared" si="91"/>
        <v>1.7251014644280076</v>
      </c>
      <c r="E1418" s="8">
        <f t="shared" si="88"/>
        <v>201.71428571428572</v>
      </c>
    </row>
    <row r="1419" spans="1:5" ht="18.5" x14ac:dyDescent="0.45">
      <c r="A1419" s="3">
        <v>1413</v>
      </c>
      <c r="B1419" s="9">
        <f t="shared" si="89"/>
        <v>0.9998366498495288</v>
      </c>
      <c r="C1419" s="3">
        <f t="shared" si="90"/>
        <v>4440874.463971667</v>
      </c>
      <c r="D1419" s="3">
        <f t="shared" si="91"/>
        <v>1.7200631005689502</v>
      </c>
      <c r="E1419" s="8">
        <f t="shared" si="88"/>
        <v>201.85714285714286</v>
      </c>
    </row>
    <row r="1420" spans="1:5" ht="18.5" x14ac:dyDescent="0.45">
      <c r="A1420" s="3">
        <v>1414</v>
      </c>
      <c r="B1420" s="9">
        <f t="shared" si="89"/>
        <v>0.99983703598118168</v>
      </c>
      <c r="C1420" s="3">
        <f t="shared" si="90"/>
        <v>4440876.1790140169</v>
      </c>
      <c r="D1420" s="3">
        <f t="shared" si="91"/>
        <v>1.7150423498824239</v>
      </c>
      <c r="E1420" s="8">
        <f t="shared" si="88"/>
        <v>202</v>
      </c>
    </row>
    <row r="1421" spans="1:5" ht="18.5" x14ac:dyDescent="0.45">
      <c r="A1421" s="3">
        <v>1415</v>
      </c>
      <c r="B1421" s="9">
        <f t="shared" si="89"/>
        <v>0.9998374209863915</v>
      </c>
      <c r="C1421" s="3">
        <f t="shared" si="90"/>
        <v>4440877.8890531566</v>
      </c>
      <c r="D1421" s="3">
        <f t="shared" si="91"/>
        <v>1.7100391397252679</v>
      </c>
      <c r="E1421" s="8">
        <f t="shared" si="88"/>
        <v>202.14285714285714</v>
      </c>
    </row>
    <row r="1422" spans="1:5" ht="18.5" x14ac:dyDescent="0.45">
      <c r="A1422" s="3">
        <v>1416</v>
      </c>
      <c r="B1422" s="9">
        <f t="shared" si="89"/>
        <v>0.99983780486909113</v>
      </c>
      <c r="C1422" s="3">
        <f t="shared" si="90"/>
        <v>4440879.594106555</v>
      </c>
      <c r="D1422" s="3">
        <f t="shared" si="91"/>
        <v>1.705053398385644</v>
      </c>
      <c r="E1422" s="8">
        <f t="shared" si="88"/>
        <v>202.28571428571428</v>
      </c>
    </row>
    <row r="1423" spans="1:5" ht="18.5" x14ac:dyDescent="0.45">
      <c r="A1423" s="3">
        <v>1417</v>
      </c>
      <c r="B1423" s="9">
        <f t="shared" si="89"/>
        <v>0.99983818763319787</v>
      </c>
      <c r="C1423" s="3">
        <f t="shared" si="90"/>
        <v>4440881.2941916119</v>
      </c>
      <c r="D1423" s="3">
        <f t="shared" si="91"/>
        <v>1.7000850569456816</v>
      </c>
      <c r="E1423" s="8">
        <f t="shared" si="88"/>
        <v>202.42857142857142</v>
      </c>
    </row>
    <row r="1424" spans="1:5" ht="18.5" x14ac:dyDescent="0.45">
      <c r="A1424" s="3">
        <v>1418</v>
      </c>
      <c r="B1424" s="9">
        <f t="shared" si="89"/>
        <v>0.99983856928261283</v>
      </c>
      <c r="C1424" s="3">
        <f t="shared" si="90"/>
        <v>4440882.9893256528</v>
      </c>
      <c r="D1424" s="3">
        <f t="shared" si="91"/>
        <v>1.6951340408995748</v>
      </c>
      <c r="E1424" s="8">
        <f t="shared" si="88"/>
        <v>202.57142857142858</v>
      </c>
    </row>
    <row r="1425" spans="1:5" ht="18.5" x14ac:dyDescent="0.45">
      <c r="A1425" s="3">
        <v>1419</v>
      </c>
      <c r="B1425" s="9">
        <f t="shared" si="89"/>
        <v>0.99983894982122101</v>
      </c>
      <c r="C1425" s="3">
        <f t="shared" si="90"/>
        <v>4440884.6795259351</v>
      </c>
      <c r="D1425" s="3">
        <f t="shared" si="91"/>
        <v>1.6902002822607756</v>
      </c>
      <c r="E1425" s="8">
        <f t="shared" si="88"/>
        <v>202.71428571428572</v>
      </c>
    </row>
    <row r="1426" spans="1:5" ht="18.5" x14ac:dyDescent="0.45">
      <c r="A1426" s="3">
        <v>1420</v>
      </c>
      <c r="B1426" s="9">
        <f t="shared" si="89"/>
        <v>0.99983932925289187</v>
      </c>
      <c r="C1426" s="3">
        <f t="shared" si="90"/>
        <v>4440886.3648096444</v>
      </c>
      <c r="D1426" s="3">
        <f t="shared" si="91"/>
        <v>1.6852837093174458</v>
      </c>
      <c r="E1426" s="8">
        <f t="shared" si="88"/>
        <v>202.85714285714286</v>
      </c>
    </row>
    <row r="1427" spans="1:5" ht="18.5" x14ac:dyDescent="0.45">
      <c r="A1427" s="3">
        <v>1421</v>
      </c>
      <c r="B1427" s="9">
        <f t="shared" si="89"/>
        <v>0.99983970758147911</v>
      </c>
      <c r="C1427" s="3">
        <f t="shared" si="90"/>
        <v>4440888.0451938976</v>
      </c>
      <c r="D1427" s="3">
        <f t="shared" si="91"/>
        <v>1.6803842531517148</v>
      </c>
      <c r="E1427" s="8">
        <f t="shared" si="88"/>
        <v>203</v>
      </c>
    </row>
    <row r="1428" spans="1:5" ht="18.5" x14ac:dyDescent="0.45">
      <c r="A1428" s="3">
        <v>1422</v>
      </c>
      <c r="B1428" s="9">
        <f t="shared" si="89"/>
        <v>0.99984008481082043</v>
      </c>
      <c r="C1428" s="3">
        <f t="shared" si="90"/>
        <v>4440889.7206957396</v>
      </c>
      <c r="D1428" s="3">
        <f t="shared" si="91"/>
        <v>1.6755018420517445</v>
      </c>
      <c r="E1428" s="8">
        <f t="shared" si="88"/>
        <v>203.14285714285714</v>
      </c>
    </row>
    <row r="1429" spans="1:5" ht="18.5" x14ac:dyDescent="0.45">
      <c r="A1429" s="3">
        <v>1423</v>
      </c>
      <c r="B1429" s="9">
        <f t="shared" si="89"/>
        <v>0.99984046094473833</v>
      </c>
      <c r="C1429" s="3">
        <f t="shared" si="90"/>
        <v>4440891.3913321495</v>
      </c>
      <c r="D1429" s="3">
        <f t="shared" si="91"/>
        <v>1.6706364098936319</v>
      </c>
      <c r="E1429" s="8">
        <f t="shared" si="88"/>
        <v>203.28571428571428</v>
      </c>
    </row>
    <row r="1430" spans="1:5" ht="18.5" x14ac:dyDescent="0.45">
      <c r="A1430" s="3">
        <v>1424</v>
      </c>
      <c r="B1430" s="9">
        <f t="shared" si="89"/>
        <v>0.99984083598703954</v>
      </c>
      <c r="C1430" s="3">
        <f t="shared" si="90"/>
        <v>4440893.0571200345</v>
      </c>
      <c r="D1430" s="3">
        <f t="shared" si="91"/>
        <v>1.665787884965539</v>
      </c>
      <c r="E1430" s="8">
        <f t="shared" si="88"/>
        <v>203.42857142857142</v>
      </c>
    </row>
    <row r="1431" spans="1:5" ht="18.5" x14ac:dyDescent="0.45">
      <c r="A1431" s="3">
        <v>1425</v>
      </c>
      <c r="B1431" s="9">
        <f t="shared" si="89"/>
        <v>0.99984120994151537</v>
      </c>
      <c r="C1431" s="3">
        <f t="shared" si="90"/>
        <v>4440894.7180762347</v>
      </c>
      <c r="D1431" s="3">
        <f t="shared" si="91"/>
        <v>1.6609562002122402</v>
      </c>
      <c r="E1431" s="8">
        <f t="shared" si="88"/>
        <v>203.57142857142858</v>
      </c>
    </row>
    <row r="1432" spans="1:5" ht="18.5" x14ac:dyDescent="0.45">
      <c r="A1432" s="3">
        <v>1426</v>
      </c>
      <c r="B1432" s="9">
        <f t="shared" si="89"/>
        <v>0.99984158281194169</v>
      </c>
      <c r="C1432" s="3">
        <f t="shared" si="90"/>
        <v>4440896.3742175205</v>
      </c>
      <c r="D1432" s="3">
        <f t="shared" si="91"/>
        <v>1.6561412857845426</v>
      </c>
      <c r="E1432" s="8">
        <f t="shared" si="88"/>
        <v>203.71428571428572</v>
      </c>
    </row>
    <row r="1433" spans="1:5" ht="18.5" x14ac:dyDescent="0.45">
      <c r="A1433" s="3">
        <v>1427</v>
      </c>
      <c r="B1433" s="9">
        <f t="shared" si="89"/>
        <v>0.99984195460207914</v>
      </c>
      <c r="C1433" s="3">
        <f t="shared" si="90"/>
        <v>4440898.0255605951</v>
      </c>
      <c r="D1433" s="3">
        <f t="shared" si="91"/>
        <v>1.6513430746272206</v>
      </c>
      <c r="E1433" s="8">
        <f t="shared" si="88"/>
        <v>203.85714285714286</v>
      </c>
    </row>
    <row r="1434" spans="1:5" ht="18.5" x14ac:dyDescent="0.45">
      <c r="A1434" s="3">
        <v>1428</v>
      </c>
      <c r="B1434" s="9">
        <f t="shared" si="89"/>
        <v>0.99984232531567319</v>
      </c>
      <c r="C1434" s="3">
        <f t="shared" si="90"/>
        <v>4440899.6721220938</v>
      </c>
      <c r="D1434" s="3">
        <f t="shared" si="91"/>
        <v>1.6465614987537265</v>
      </c>
      <c r="E1434" s="8">
        <f t="shared" si="88"/>
        <v>204</v>
      </c>
    </row>
    <row r="1435" spans="1:5" ht="18.5" x14ac:dyDescent="0.45">
      <c r="A1435" s="3">
        <v>1429</v>
      </c>
      <c r="B1435" s="9">
        <f t="shared" si="89"/>
        <v>0.99984269495645373</v>
      </c>
      <c r="C1435" s="3">
        <f t="shared" si="90"/>
        <v>4440901.313918585</v>
      </c>
      <c r="D1435" s="3">
        <f t="shared" si="91"/>
        <v>1.6417964911088347</v>
      </c>
      <c r="E1435" s="8">
        <f t="shared" si="88"/>
        <v>204.14285714285714</v>
      </c>
    </row>
    <row r="1436" spans="1:5" ht="18.5" x14ac:dyDescent="0.45">
      <c r="A1436" s="3">
        <v>1430</v>
      </c>
      <c r="B1436" s="9">
        <f t="shared" si="89"/>
        <v>0.99984306352813612</v>
      </c>
      <c r="C1436" s="3">
        <f t="shared" si="90"/>
        <v>4440902.9509665696</v>
      </c>
      <c r="D1436" s="3">
        <f t="shared" si="91"/>
        <v>1.63704798463732</v>
      </c>
      <c r="E1436" s="8">
        <f t="shared" si="88"/>
        <v>204.28571428571428</v>
      </c>
    </row>
    <row r="1437" spans="1:5" ht="18.5" x14ac:dyDescent="0.45">
      <c r="A1437" s="3">
        <v>1431</v>
      </c>
      <c r="B1437" s="9">
        <f t="shared" si="89"/>
        <v>0.99984343103442019</v>
      </c>
      <c r="C1437" s="3">
        <f t="shared" si="90"/>
        <v>4440904.5832824809</v>
      </c>
      <c r="D1437" s="3">
        <f t="shared" si="91"/>
        <v>1.6323159113526344</v>
      </c>
      <c r="E1437" s="8">
        <f t="shared" si="88"/>
        <v>204.42857142857142</v>
      </c>
    </row>
    <row r="1438" spans="1:5" ht="18.5" x14ac:dyDescent="0.45">
      <c r="A1438" s="3">
        <v>1432</v>
      </c>
      <c r="B1438" s="9">
        <f t="shared" si="89"/>
        <v>0.9998437974789911</v>
      </c>
      <c r="C1438" s="3">
        <f t="shared" si="90"/>
        <v>4440906.210882687</v>
      </c>
      <c r="D1438" s="3">
        <f t="shared" si="91"/>
        <v>1.6276002060621977</v>
      </c>
      <c r="E1438" s="8">
        <f t="shared" si="88"/>
        <v>204.57142857142858</v>
      </c>
    </row>
    <row r="1439" spans="1:5" ht="18.5" x14ac:dyDescent="0.45">
      <c r="A1439" s="3">
        <v>1433</v>
      </c>
      <c r="B1439" s="9">
        <f t="shared" si="89"/>
        <v>0.99984416286551903</v>
      </c>
      <c r="C1439" s="3">
        <f t="shared" si="90"/>
        <v>4440907.8337834897</v>
      </c>
      <c r="D1439" s="3">
        <f t="shared" si="91"/>
        <v>1.622900802642107</v>
      </c>
      <c r="E1439" s="8">
        <f t="shared" si="88"/>
        <v>204.71428571428572</v>
      </c>
    </row>
    <row r="1440" spans="1:5" ht="18.5" x14ac:dyDescent="0.45">
      <c r="A1440" s="3">
        <v>1434</v>
      </c>
      <c r="B1440" s="9">
        <f t="shared" si="89"/>
        <v>0.99984452719765926</v>
      </c>
      <c r="C1440" s="3">
        <f t="shared" si="90"/>
        <v>4440909.4520011237</v>
      </c>
      <c r="D1440" s="3">
        <f t="shared" si="91"/>
        <v>1.618217634037137</v>
      </c>
      <c r="E1440" s="8">
        <f t="shared" si="88"/>
        <v>204.85714285714286</v>
      </c>
    </row>
    <row r="1441" spans="1:5" ht="18.5" x14ac:dyDescent="0.45">
      <c r="A1441" s="3">
        <v>1435</v>
      </c>
      <c r="B1441" s="9">
        <f t="shared" si="89"/>
        <v>0.99984489047905245</v>
      </c>
      <c r="C1441" s="3">
        <f t="shared" si="90"/>
        <v>4440911.0655517597</v>
      </c>
      <c r="D1441" s="3">
        <f t="shared" si="91"/>
        <v>1.6135506359860301</v>
      </c>
      <c r="E1441" s="8">
        <f t="shared" si="88"/>
        <v>205</v>
      </c>
    </row>
    <row r="1442" spans="1:5" ht="18.5" x14ac:dyDescent="0.45">
      <c r="A1442" s="3">
        <v>1436</v>
      </c>
      <c r="B1442" s="9">
        <f t="shared" si="89"/>
        <v>0.99984525271332436</v>
      </c>
      <c r="C1442" s="3">
        <f t="shared" si="90"/>
        <v>4440912.6744515011</v>
      </c>
      <c r="D1442" s="3">
        <f t="shared" si="91"/>
        <v>1.6088997414335608</v>
      </c>
      <c r="E1442" s="8">
        <f t="shared" si="88"/>
        <v>205.14285714285714</v>
      </c>
    </row>
    <row r="1443" spans="1:5" ht="18.5" x14ac:dyDescent="0.45">
      <c r="A1443" s="3">
        <v>1437</v>
      </c>
      <c r="B1443" s="9">
        <f t="shared" si="89"/>
        <v>0.99984561390408633</v>
      </c>
      <c r="C1443" s="3">
        <f t="shared" si="90"/>
        <v>4440914.27871639</v>
      </c>
      <c r="D1443" s="3">
        <f t="shared" si="91"/>
        <v>1.6042648889124393</v>
      </c>
      <c r="E1443" s="8">
        <f t="shared" si="88"/>
        <v>205.28571428571428</v>
      </c>
    </row>
    <row r="1444" spans="1:5" ht="18.5" x14ac:dyDescent="0.45">
      <c r="A1444" s="3">
        <v>1438</v>
      </c>
      <c r="B1444" s="9">
        <f t="shared" si="89"/>
        <v>0.99984597405493503</v>
      </c>
      <c r="C1444" s="3">
        <f t="shared" si="90"/>
        <v>4440915.8783623995</v>
      </c>
      <c r="D1444" s="3">
        <f t="shared" si="91"/>
        <v>1.5996460095047951</v>
      </c>
      <c r="E1444" s="8">
        <f t="shared" si="88"/>
        <v>205.42857142857142</v>
      </c>
    </row>
    <row r="1445" spans="1:5" ht="18.5" x14ac:dyDescent="0.45">
      <c r="A1445" s="3">
        <v>1439</v>
      </c>
      <c r="B1445" s="9">
        <f t="shared" si="89"/>
        <v>0.99984633316945271</v>
      </c>
      <c r="C1445" s="3">
        <f t="shared" si="90"/>
        <v>4440917.4734054413</v>
      </c>
      <c r="D1445" s="3">
        <f t="shared" si="91"/>
        <v>1.5950430417433381</v>
      </c>
      <c r="E1445" s="8">
        <f t="shared" si="88"/>
        <v>205.57142857142858</v>
      </c>
    </row>
    <row r="1446" spans="1:5" ht="18.5" x14ac:dyDescent="0.45">
      <c r="A1446" s="3">
        <v>1440</v>
      </c>
      <c r="B1446" s="9">
        <f t="shared" si="89"/>
        <v>0.99984669125120718</v>
      </c>
      <c r="C1446" s="3">
        <f t="shared" si="90"/>
        <v>4440919.0638613617</v>
      </c>
      <c r="D1446" s="3">
        <f t="shared" si="91"/>
        <v>1.5904559204354882</v>
      </c>
      <c r="E1446" s="8">
        <f t="shared" si="88"/>
        <v>205.71428571428572</v>
      </c>
    </row>
    <row r="1447" spans="1:5" ht="18.5" x14ac:dyDescent="0.45">
      <c r="A1447" s="3">
        <v>1441</v>
      </c>
      <c r="B1447" s="9">
        <f t="shared" si="89"/>
        <v>0.99984704830375193</v>
      </c>
      <c r="C1447" s="3">
        <f t="shared" si="90"/>
        <v>4440920.6497459449</v>
      </c>
      <c r="D1447" s="3">
        <f t="shared" si="91"/>
        <v>1.5858845831826329</v>
      </c>
      <c r="E1447" s="8">
        <f t="shared" si="88"/>
        <v>205.85714285714286</v>
      </c>
    </row>
    <row r="1448" spans="1:5" ht="18.5" x14ac:dyDescent="0.45">
      <c r="A1448" s="3">
        <v>1442</v>
      </c>
      <c r="B1448" s="9">
        <f t="shared" si="89"/>
        <v>0.99984740433062591</v>
      </c>
      <c r="C1448" s="3">
        <f t="shared" si="90"/>
        <v>4440922.2310749078</v>
      </c>
      <c r="D1448" s="3">
        <f t="shared" si="91"/>
        <v>1.5813289629295468</v>
      </c>
      <c r="E1448" s="8">
        <f t="shared" si="88"/>
        <v>206</v>
      </c>
    </row>
    <row r="1449" spans="1:5" ht="18.5" x14ac:dyDescent="0.45">
      <c r="A1449" s="3">
        <v>1443</v>
      </c>
      <c r="B1449" s="9">
        <f t="shared" si="89"/>
        <v>0.9998477593353543</v>
      </c>
      <c r="C1449" s="3">
        <f t="shared" si="90"/>
        <v>4440923.8078639098</v>
      </c>
      <c r="D1449" s="3">
        <f t="shared" si="91"/>
        <v>1.5767890019342303</v>
      </c>
      <c r="E1449" s="8">
        <f t="shared" si="88"/>
        <v>206.14285714285714</v>
      </c>
    </row>
    <row r="1450" spans="1:5" ht="18.5" x14ac:dyDescent="0.45">
      <c r="A1450" s="3">
        <v>1444</v>
      </c>
      <c r="B1450" s="9">
        <f t="shared" si="89"/>
        <v>0.99984811332144774</v>
      </c>
      <c r="C1450" s="3">
        <f t="shared" si="90"/>
        <v>4440925.380128542</v>
      </c>
      <c r="D1450" s="3">
        <f t="shared" si="91"/>
        <v>1.5722646322101355</v>
      </c>
      <c r="E1450" s="8">
        <f t="shared" si="88"/>
        <v>206.28571428571428</v>
      </c>
    </row>
    <row r="1451" spans="1:5" ht="18.5" x14ac:dyDescent="0.45">
      <c r="A1451" s="3">
        <v>1445</v>
      </c>
      <c r="B1451" s="9">
        <f t="shared" si="89"/>
        <v>0.99984846629240298</v>
      </c>
      <c r="C1451" s="3">
        <f t="shared" si="90"/>
        <v>4440926.947884337</v>
      </c>
      <c r="D1451" s="3">
        <f t="shared" si="91"/>
        <v>1.56775579508394</v>
      </c>
      <c r="E1451" s="8">
        <f t="shared" si="88"/>
        <v>206.42857142857142</v>
      </c>
    </row>
    <row r="1452" spans="1:5" ht="18.5" x14ac:dyDescent="0.45">
      <c r="A1452" s="3">
        <v>1446</v>
      </c>
      <c r="B1452" s="9">
        <f t="shared" si="89"/>
        <v>0.99984881825170258</v>
      </c>
      <c r="C1452" s="3">
        <f t="shared" si="90"/>
        <v>4440928.5111467624</v>
      </c>
      <c r="D1452" s="3">
        <f t="shared" si="91"/>
        <v>1.5632624253630638</v>
      </c>
      <c r="E1452" s="8">
        <f t="shared" si="88"/>
        <v>206.57142857142858</v>
      </c>
    </row>
    <row r="1453" spans="1:5" ht="18.5" x14ac:dyDescent="0.45">
      <c r="A1453" s="3">
        <v>1447</v>
      </c>
      <c r="B1453" s="9">
        <f t="shared" si="89"/>
        <v>0.99984916920281519</v>
      </c>
      <c r="C1453" s="3">
        <f t="shared" si="90"/>
        <v>4440930.069931224</v>
      </c>
      <c r="D1453" s="3">
        <f t="shared" si="91"/>
        <v>1.5587844615802169</v>
      </c>
      <c r="E1453" s="8">
        <f t="shared" si="88"/>
        <v>206.71428571428572</v>
      </c>
    </row>
    <row r="1454" spans="1:5" ht="18.5" x14ac:dyDescent="0.45">
      <c r="A1454" s="3">
        <v>1448</v>
      </c>
      <c r="B1454" s="9">
        <f t="shared" si="89"/>
        <v>0.99984951914919584</v>
      </c>
      <c r="C1454" s="3">
        <f t="shared" si="90"/>
        <v>4440931.6242530681</v>
      </c>
      <c r="D1454" s="3">
        <f t="shared" si="91"/>
        <v>1.5543218441307545</v>
      </c>
      <c r="E1454" s="8">
        <f t="shared" si="88"/>
        <v>206.85714285714286</v>
      </c>
    </row>
    <row r="1455" spans="1:5" ht="18.5" x14ac:dyDescent="0.45">
      <c r="A1455" s="3">
        <v>1449</v>
      </c>
      <c r="B1455" s="9">
        <f t="shared" si="89"/>
        <v>0.99984986809428522</v>
      </c>
      <c r="C1455" s="3">
        <f t="shared" si="90"/>
        <v>4440933.1741275769</v>
      </c>
      <c r="D1455" s="3">
        <f t="shared" si="91"/>
        <v>1.5498745087534189</v>
      </c>
      <c r="E1455" s="8">
        <f t="shared" si="88"/>
        <v>207</v>
      </c>
    </row>
    <row r="1456" spans="1:5" ht="18.5" x14ac:dyDescent="0.45">
      <c r="A1456" s="3">
        <v>1450</v>
      </c>
      <c r="B1456" s="9">
        <f t="shared" si="89"/>
        <v>0.99985021604151081</v>
      </c>
      <c r="C1456" s="3">
        <f t="shared" si="90"/>
        <v>4440934.7195699746</v>
      </c>
      <c r="D1456" s="3">
        <f t="shared" si="91"/>
        <v>1.5454423977062106</v>
      </c>
      <c r="E1456" s="8">
        <f t="shared" si="88"/>
        <v>207.14285714285714</v>
      </c>
    </row>
    <row r="1457" spans="1:5" ht="18.5" x14ac:dyDescent="0.45">
      <c r="A1457" s="3">
        <v>1451</v>
      </c>
      <c r="B1457" s="9">
        <f t="shared" si="89"/>
        <v>0.99985056299428576</v>
      </c>
      <c r="C1457" s="3">
        <f t="shared" si="90"/>
        <v>4440936.2605954194</v>
      </c>
      <c r="D1457" s="3">
        <f t="shared" si="91"/>
        <v>1.5410254448652267</v>
      </c>
      <c r="E1457" s="8">
        <f t="shared" si="88"/>
        <v>207.28571428571428</v>
      </c>
    </row>
    <row r="1458" spans="1:5" ht="18.5" x14ac:dyDescent="0.45">
      <c r="A1458" s="3">
        <v>1452</v>
      </c>
      <c r="B1458" s="9">
        <f t="shared" si="89"/>
        <v>0.99985090895601025</v>
      </c>
      <c r="C1458" s="3">
        <f t="shared" si="90"/>
        <v>4440937.7972190147</v>
      </c>
      <c r="D1458" s="3">
        <f t="shared" si="91"/>
        <v>1.5366235952824354</v>
      </c>
      <c r="E1458" s="8">
        <f t="shared" si="88"/>
        <v>207.42857142857142</v>
      </c>
    </row>
    <row r="1459" spans="1:5" ht="18.5" x14ac:dyDescent="0.45">
      <c r="A1459" s="3">
        <v>1453</v>
      </c>
      <c r="B1459" s="9">
        <f t="shared" si="89"/>
        <v>0.99985125393007024</v>
      </c>
      <c r="C1459" s="3">
        <f t="shared" si="90"/>
        <v>4440939.3294558004</v>
      </c>
      <c r="D1459" s="3">
        <f t="shared" si="91"/>
        <v>1.5322367856279016</v>
      </c>
      <c r="E1459" s="8">
        <f t="shared" si="88"/>
        <v>207.57142857142858</v>
      </c>
    </row>
    <row r="1460" spans="1:5" ht="18.5" x14ac:dyDescent="0.45">
      <c r="A1460" s="3">
        <v>1454</v>
      </c>
      <c r="B1460" s="9">
        <f t="shared" si="89"/>
        <v>0.99985159791983858</v>
      </c>
      <c r="C1460" s="3">
        <f t="shared" si="90"/>
        <v>4440940.8573207548</v>
      </c>
      <c r="D1460" s="3">
        <f t="shared" si="91"/>
        <v>1.5278649544343352</v>
      </c>
      <c r="E1460" s="8">
        <f t="shared" si="88"/>
        <v>207.71428571428572</v>
      </c>
    </row>
    <row r="1461" spans="1:5" ht="18.5" x14ac:dyDescent="0.45">
      <c r="A1461" s="3">
        <v>1455</v>
      </c>
      <c r="B1461" s="9">
        <f t="shared" si="89"/>
        <v>0.99985194092867469</v>
      </c>
      <c r="C1461" s="3">
        <f t="shared" si="90"/>
        <v>4440942.3808288015</v>
      </c>
      <c r="D1461" s="3">
        <f t="shared" si="91"/>
        <v>1.5235080467537045</v>
      </c>
      <c r="E1461" s="8">
        <f t="shared" si="88"/>
        <v>207.85714285714286</v>
      </c>
    </row>
    <row r="1462" spans="1:5" ht="18.5" x14ac:dyDescent="0.45">
      <c r="A1462" s="3">
        <v>1456</v>
      </c>
      <c r="B1462" s="9">
        <f t="shared" si="89"/>
        <v>0.99985228295992412</v>
      </c>
      <c r="C1462" s="3">
        <f t="shared" si="90"/>
        <v>4440943.8999947989</v>
      </c>
      <c r="D1462" s="3">
        <f t="shared" si="91"/>
        <v>1.5191659973934293</v>
      </c>
      <c r="E1462" s="8">
        <f t="shared" si="88"/>
        <v>208</v>
      </c>
    </row>
    <row r="1463" spans="1:5" ht="18.5" x14ac:dyDescent="0.45">
      <c r="A1463" s="3">
        <v>1457</v>
      </c>
      <c r="B1463" s="9">
        <f t="shared" si="89"/>
        <v>0.99985262401691977</v>
      </c>
      <c r="C1463" s="3">
        <f t="shared" si="90"/>
        <v>4440945.4148335513</v>
      </c>
      <c r="D1463" s="3">
        <f t="shared" si="91"/>
        <v>1.5148387523368001</v>
      </c>
      <c r="E1463" s="8">
        <f t="shared" si="88"/>
        <v>208.14285714285714</v>
      </c>
    </row>
    <row r="1464" spans="1:5" ht="18.5" x14ac:dyDescent="0.45">
      <c r="A1464" s="3">
        <v>1458</v>
      </c>
      <c r="B1464" s="9">
        <f t="shared" si="89"/>
        <v>0.99985296410298075</v>
      </c>
      <c r="C1464" s="3">
        <f t="shared" si="90"/>
        <v>4440946.9253597995</v>
      </c>
      <c r="D1464" s="3">
        <f t="shared" si="91"/>
        <v>1.5105262482538819</v>
      </c>
      <c r="E1464" s="8">
        <f t="shared" si="88"/>
        <v>208.28571428571428</v>
      </c>
    </row>
    <row r="1465" spans="1:5" ht="18.5" x14ac:dyDescent="0.45">
      <c r="A1465" s="3">
        <v>1459</v>
      </c>
      <c r="B1465" s="9">
        <f t="shared" si="89"/>
        <v>0.99985330322141308</v>
      </c>
      <c r="C1465" s="3">
        <f t="shared" si="90"/>
        <v>4440948.4315882288</v>
      </c>
      <c r="D1465" s="3">
        <f t="shared" si="91"/>
        <v>1.5062284292653203</v>
      </c>
      <c r="E1465" s="8">
        <f t="shared" si="88"/>
        <v>208.42857142857142</v>
      </c>
    </row>
    <row r="1466" spans="1:5" ht="18.5" x14ac:dyDescent="0.45">
      <c r="A1466" s="3">
        <v>1460</v>
      </c>
      <c r="B1466" s="9">
        <f t="shared" si="89"/>
        <v>0.99985364137550969</v>
      </c>
      <c r="C1466" s="3">
        <f t="shared" si="90"/>
        <v>4440949.9335334636</v>
      </c>
      <c r="D1466" s="3">
        <f t="shared" si="91"/>
        <v>1.5019452348351479</v>
      </c>
      <c r="E1466" s="8">
        <f t="shared" si="88"/>
        <v>208.57142857142858</v>
      </c>
    </row>
    <row r="1467" spans="1:5" ht="18.5" x14ac:dyDescent="0.45">
      <c r="A1467" s="3">
        <v>1461</v>
      </c>
      <c r="B1467" s="9">
        <f t="shared" si="89"/>
        <v>0.99985397856855041</v>
      </c>
      <c r="C1467" s="3">
        <f t="shared" si="90"/>
        <v>4440951.4312100736</v>
      </c>
      <c r="D1467" s="3">
        <f t="shared" si="91"/>
        <v>1.4976766100153327</v>
      </c>
      <c r="E1467" s="8">
        <f t="shared" si="88"/>
        <v>208.71428571428572</v>
      </c>
    </row>
    <row r="1468" spans="1:5" ht="18.5" x14ac:dyDescent="0.45">
      <c r="A1468" s="3">
        <v>1462</v>
      </c>
      <c r="B1468" s="9">
        <f t="shared" si="89"/>
        <v>0.99985431480380205</v>
      </c>
      <c r="C1468" s="3">
        <f t="shared" si="90"/>
        <v>4440952.924632567</v>
      </c>
      <c r="D1468" s="3">
        <f t="shared" si="91"/>
        <v>1.4934224933385849</v>
      </c>
      <c r="E1468" s="8">
        <f t="shared" si="88"/>
        <v>208.85714285714286</v>
      </c>
    </row>
    <row r="1469" spans="1:5" ht="18.5" x14ac:dyDescent="0.45">
      <c r="A1469" s="3">
        <v>1463</v>
      </c>
      <c r="B1469" s="9">
        <f t="shared" si="89"/>
        <v>0.99985465008451835</v>
      </c>
      <c r="C1469" s="3">
        <f t="shared" si="90"/>
        <v>4440954.4138153968</v>
      </c>
      <c r="D1469" s="3">
        <f t="shared" si="91"/>
        <v>1.4891828298568726</v>
      </c>
      <c r="E1469" s="8">
        <f t="shared" si="88"/>
        <v>209</v>
      </c>
    </row>
    <row r="1470" spans="1:5" ht="18.5" x14ac:dyDescent="0.45">
      <c r="A1470" s="3">
        <v>1464</v>
      </c>
      <c r="B1470" s="9">
        <f t="shared" si="89"/>
        <v>0.99985498441394038</v>
      </c>
      <c r="C1470" s="3">
        <f t="shared" si="90"/>
        <v>4440955.8987729577</v>
      </c>
      <c r="D1470" s="3">
        <f t="shared" si="91"/>
        <v>1.4849575608968735</v>
      </c>
      <c r="E1470" s="8">
        <f t="shared" si="88"/>
        <v>209.14285714285714</v>
      </c>
    </row>
    <row r="1471" spans="1:5" ht="18.5" x14ac:dyDescent="0.45">
      <c r="A1471" s="3">
        <v>1465</v>
      </c>
      <c r="B1471" s="9">
        <f t="shared" si="89"/>
        <v>0.99985531779529591</v>
      </c>
      <c r="C1471" s="3">
        <f t="shared" si="90"/>
        <v>4440957.3795195865</v>
      </c>
      <c r="D1471" s="3">
        <f t="shared" si="91"/>
        <v>1.480746628716588</v>
      </c>
      <c r="E1471" s="8">
        <f t="shared" si="88"/>
        <v>209.28571428571428</v>
      </c>
    </row>
    <row r="1472" spans="1:5" ht="18.5" x14ac:dyDescent="0.45">
      <c r="A1472" s="3">
        <v>1466</v>
      </c>
      <c r="B1472" s="9">
        <f t="shared" si="89"/>
        <v>0.99985565023180034</v>
      </c>
      <c r="C1472" s="3">
        <f t="shared" si="90"/>
        <v>4440958.8560695648</v>
      </c>
      <c r="D1472" s="3">
        <f t="shared" si="91"/>
        <v>1.4765499783679843</v>
      </c>
      <c r="E1472" s="8">
        <f t="shared" si="88"/>
        <v>209.42857142857142</v>
      </c>
    </row>
    <row r="1473" spans="1:5" ht="18.5" x14ac:dyDescent="0.45">
      <c r="A1473" s="3">
        <v>1467</v>
      </c>
      <c r="B1473" s="9">
        <f t="shared" si="89"/>
        <v>0.99985598172665613</v>
      </c>
      <c r="C1473" s="3">
        <f t="shared" si="90"/>
        <v>4440960.328437116</v>
      </c>
      <c r="D1473" s="3">
        <f t="shared" si="91"/>
        <v>1.4723675511777401</v>
      </c>
      <c r="E1473" s="8">
        <f t="shared" si="88"/>
        <v>209.57142857142858</v>
      </c>
    </row>
    <row r="1474" spans="1:5" ht="18.5" x14ac:dyDescent="0.45">
      <c r="A1474" s="3">
        <v>1468</v>
      </c>
      <c r="B1474" s="9">
        <f t="shared" si="89"/>
        <v>0.99985631228305305</v>
      </c>
      <c r="C1474" s="3">
        <f t="shared" si="90"/>
        <v>4440961.7966364082</v>
      </c>
      <c r="D1474" s="3">
        <f t="shared" si="91"/>
        <v>1.4681992921978235</v>
      </c>
      <c r="E1474" s="8">
        <f t="shared" si="88"/>
        <v>209.71428571428572</v>
      </c>
    </row>
    <row r="1475" spans="1:5" ht="18.5" x14ac:dyDescent="0.45">
      <c r="A1475" s="3">
        <v>1469</v>
      </c>
      <c r="B1475" s="9">
        <f t="shared" si="89"/>
        <v>0.99985664190416834</v>
      </c>
      <c r="C1475" s="3">
        <f t="shared" si="90"/>
        <v>4440963.2606815537</v>
      </c>
      <c r="D1475" s="3">
        <f t="shared" si="91"/>
        <v>1.4640451455488801</v>
      </c>
      <c r="E1475" s="8">
        <f t="shared" si="88"/>
        <v>209.85714285714286</v>
      </c>
    </row>
    <row r="1476" spans="1:5" ht="18.5" x14ac:dyDescent="0.45">
      <c r="A1476" s="3">
        <v>1470</v>
      </c>
      <c r="B1476" s="9">
        <f t="shared" si="89"/>
        <v>0.99985697059316669</v>
      </c>
      <c r="C1476" s="3">
        <f t="shared" si="90"/>
        <v>4440964.7205866091</v>
      </c>
      <c r="D1476" s="3">
        <f t="shared" si="91"/>
        <v>1.4599050553515553</v>
      </c>
      <c r="E1476" s="8">
        <f t="shared" si="88"/>
        <v>210</v>
      </c>
    </row>
    <row r="1477" spans="1:5" ht="18.5" x14ac:dyDescent="0.45">
      <c r="A1477" s="3">
        <v>1471</v>
      </c>
      <c r="B1477" s="9">
        <f t="shared" si="89"/>
        <v>0.99985729835320014</v>
      </c>
      <c r="C1477" s="3">
        <f t="shared" si="90"/>
        <v>4440966.1763655739</v>
      </c>
      <c r="D1477" s="3">
        <f t="shared" si="91"/>
        <v>1.4557789647951722</v>
      </c>
      <c r="E1477" s="8">
        <f t="shared" si="88"/>
        <v>210.14285714285714</v>
      </c>
    </row>
    <row r="1478" spans="1:5" ht="18.5" x14ac:dyDescent="0.45">
      <c r="A1478" s="3">
        <v>1472</v>
      </c>
      <c r="B1478" s="9">
        <f t="shared" si="89"/>
        <v>0.99985762518740839</v>
      </c>
      <c r="C1478" s="3">
        <f t="shared" si="90"/>
        <v>4440967.6280323928</v>
      </c>
      <c r="D1478" s="3">
        <f t="shared" si="91"/>
        <v>1.4516668189316988</v>
      </c>
      <c r="E1478" s="8">
        <f t="shared" si="88"/>
        <v>210.28571428571428</v>
      </c>
    </row>
    <row r="1479" spans="1:5" ht="18.5" x14ac:dyDescent="0.45">
      <c r="A1479" s="3">
        <v>1473</v>
      </c>
      <c r="B1479" s="9">
        <f t="shared" si="89"/>
        <v>0.99985795109891862</v>
      </c>
      <c r="C1479" s="3">
        <f t="shared" si="90"/>
        <v>4440969.0756009566</v>
      </c>
      <c r="D1479" s="3">
        <f t="shared" si="91"/>
        <v>1.4475685637444258</v>
      </c>
      <c r="E1479" s="8">
        <f t="shared" ref="E1479:E1542" si="92">A1479/7</f>
        <v>210.42857142857142</v>
      </c>
    </row>
    <row r="1480" spans="1:5" ht="18.5" x14ac:dyDescent="0.45">
      <c r="A1480" s="3">
        <v>1474</v>
      </c>
      <c r="B1480" s="9">
        <f t="shared" ref="B1480:B1543" si="93">LOGNORMDIST(A1480,$A$3,$B$3)</f>
        <v>0.99985827609084588</v>
      </c>
      <c r="C1480" s="3">
        <f t="shared" ref="C1480:C1543" si="94">$E$3*B1480</f>
        <v>4440970.5190851009</v>
      </c>
      <c r="D1480" s="3">
        <f t="shared" ref="D1480:D1543" si="95">C1480-C1479</f>
        <v>1.4434841442853212</v>
      </c>
      <c r="E1480" s="8">
        <f t="shared" si="92"/>
        <v>210.57142857142858</v>
      </c>
    </row>
    <row r="1481" spans="1:5" ht="18.5" x14ac:dyDescent="0.45">
      <c r="A1481" s="3">
        <v>1475</v>
      </c>
      <c r="B1481" s="9">
        <f t="shared" si="93"/>
        <v>0.99985860016629269</v>
      </c>
      <c r="C1481" s="3">
        <f t="shared" si="94"/>
        <v>4440971.9584986055</v>
      </c>
      <c r="D1481" s="3">
        <f t="shared" si="95"/>
        <v>1.4394135046750307</v>
      </c>
      <c r="E1481" s="8">
        <f t="shared" si="92"/>
        <v>210.71428571428572</v>
      </c>
    </row>
    <row r="1482" spans="1:5" ht="18.5" x14ac:dyDescent="0.45">
      <c r="A1482" s="3">
        <v>1476</v>
      </c>
      <c r="B1482" s="9">
        <f t="shared" si="93"/>
        <v>0.99985892332834958</v>
      </c>
      <c r="C1482" s="3">
        <f t="shared" si="94"/>
        <v>4440973.3938551974</v>
      </c>
      <c r="D1482" s="3">
        <f t="shared" si="95"/>
        <v>1.4353565918281674</v>
      </c>
      <c r="E1482" s="8">
        <f t="shared" si="92"/>
        <v>210.85714285714286</v>
      </c>
    </row>
    <row r="1483" spans="1:5" ht="18.5" x14ac:dyDescent="0.45">
      <c r="A1483" s="3">
        <v>1477</v>
      </c>
      <c r="B1483" s="9">
        <f t="shared" si="93"/>
        <v>0.99985924558009476</v>
      </c>
      <c r="C1483" s="3">
        <f t="shared" si="94"/>
        <v>4440974.8251685491</v>
      </c>
      <c r="D1483" s="3">
        <f t="shared" si="95"/>
        <v>1.4313133517280221</v>
      </c>
      <c r="E1483" s="8">
        <f t="shared" si="92"/>
        <v>211</v>
      </c>
    </row>
    <row r="1484" spans="1:5" ht="18.5" x14ac:dyDescent="0.45">
      <c r="A1484" s="3">
        <v>1478</v>
      </c>
      <c r="B1484" s="9">
        <f t="shared" si="93"/>
        <v>0.99985956692459421</v>
      </c>
      <c r="C1484" s="3">
        <f t="shared" si="94"/>
        <v>4440976.2524522776</v>
      </c>
      <c r="D1484" s="3">
        <f t="shared" si="95"/>
        <v>1.4272837284952402</v>
      </c>
      <c r="E1484" s="8">
        <f t="shared" si="92"/>
        <v>211.14285714285714</v>
      </c>
    </row>
    <row r="1485" spans="1:5" ht="18.5" x14ac:dyDescent="0.45">
      <c r="A1485" s="3">
        <v>1479</v>
      </c>
      <c r="B1485" s="9">
        <f t="shared" si="93"/>
        <v>0.99985988736490228</v>
      </c>
      <c r="C1485" s="3">
        <f t="shared" si="94"/>
        <v>4440977.6757199503</v>
      </c>
      <c r="D1485" s="3">
        <f t="shared" si="95"/>
        <v>1.4232676727697253</v>
      </c>
      <c r="E1485" s="8">
        <f t="shared" si="92"/>
        <v>211.28571428571428</v>
      </c>
    </row>
    <row r="1486" spans="1:5" ht="18.5" x14ac:dyDescent="0.45">
      <c r="A1486" s="3">
        <v>1480</v>
      </c>
      <c r="B1486" s="9">
        <f t="shared" si="93"/>
        <v>0.99986020690406074</v>
      </c>
      <c r="C1486" s="3">
        <f t="shared" si="94"/>
        <v>4440979.0949850762</v>
      </c>
      <c r="D1486" s="3">
        <f t="shared" si="95"/>
        <v>1.4192651258781552</v>
      </c>
      <c r="E1486" s="8">
        <f t="shared" si="92"/>
        <v>211.42857142857142</v>
      </c>
    </row>
    <row r="1487" spans="1:5" ht="18.5" x14ac:dyDescent="0.45">
      <c r="A1487" s="3">
        <v>1481</v>
      </c>
      <c r="B1487" s="9">
        <f t="shared" si="93"/>
        <v>0.99986052554509985</v>
      </c>
      <c r="C1487" s="3">
        <f t="shared" si="94"/>
        <v>4440980.5102611156</v>
      </c>
      <c r="D1487" s="3">
        <f t="shared" si="95"/>
        <v>1.4152760393917561</v>
      </c>
      <c r="E1487" s="8">
        <f t="shared" si="92"/>
        <v>211.57142857142858</v>
      </c>
    </row>
    <row r="1488" spans="1:5" ht="18.5" x14ac:dyDescent="0.45">
      <c r="A1488" s="3">
        <v>1482</v>
      </c>
      <c r="B1488" s="9">
        <f t="shared" si="93"/>
        <v>0.99986084329103775</v>
      </c>
      <c r="C1488" s="3">
        <f t="shared" si="94"/>
        <v>4440981.921561473</v>
      </c>
      <c r="D1488" s="3">
        <f t="shared" si="95"/>
        <v>1.4113003574311733</v>
      </c>
      <c r="E1488" s="8">
        <f t="shared" si="92"/>
        <v>211.71428571428572</v>
      </c>
    </row>
    <row r="1489" spans="1:5" ht="18.5" x14ac:dyDescent="0.45">
      <c r="A1489" s="3">
        <v>1483</v>
      </c>
      <c r="B1489" s="9">
        <f t="shared" si="93"/>
        <v>0.99986116014488069</v>
      </c>
      <c r="C1489" s="3">
        <f t="shared" si="94"/>
        <v>4440983.3288995018</v>
      </c>
      <c r="D1489" s="3">
        <f t="shared" si="95"/>
        <v>1.4073380287736654</v>
      </c>
      <c r="E1489" s="8">
        <f t="shared" si="92"/>
        <v>211.85714285714286</v>
      </c>
    </row>
    <row r="1490" spans="1:5" ht="18.5" x14ac:dyDescent="0.45">
      <c r="A1490" s="3">
        <v>1484</v>
      </c>
      <c r="B1490" s="9">
        <f t="shared" si="93"/>
        <v>0.99986147610962339</v>
      </c>
      <c r="C1490" s="3">
        <f t="shared" si="94"/>
        <v>4440984.7322885031</v>
      </c>
      <c r="D1490" s="3">
        <f t="shared" si="95"/>
        <v>1.4033890012651682</v>
      </c>
      <c r="E1490" s="8">
        <f t="shared" si="92"/>
        <v>212</v>
      </c>
    </row>
    <row r="1491" spans="1:5" ht="18.5" x14ac:dyDescent="0.45">
      <c r="A1491" s="3">
        <v>1485</v>
      </c>
      <c r="B1491" s="9">
        <f t="shared" si="93"/>
        <v>0.99986179118824858</v>
      </c>
      <c r="C1491" s="3">
        <f t="shared" si="94"/>
        <v>4440986.1317417249</v>
      </c>
      <c r="D1491" s="3">
        <f t="shared" si="95"/>
        <v>1.3994532218202949</v>
      </c>
      <c r="E1491" s="8">
        <f t="shared" si="92"/>
        <v>212.14285714285714</v>
      </c>
    </row>
    <row r="1492" spans="1:5" ht="18.5" x14ac:dyDescent="0.45">
      <c r="A1492" s="3">
        <v>1486</v>
      </c>
      <c r="B1492" s="9">
        <f t="shared" si="93"/>
        <v>0.99986210538372744</v>
      </c>
      <c r="C1492" s="3">
        <f t="shared" si="94"/>
        <v>4440987.5272723641</v>
      </c>
      <c r="D1492" s="3">
        <f t="shared" si="95"/>
        <v>1.3955306392163038</v>
      </c>
      <c r="E1492" s="8">
        <f t="shared" si="92"/>
        <v>212.28571428571428</v>
      </c>
    </row>
    <row r="1493" spans="1:5" ht="18.5" x14ac:dyDescent="0.45">
      <c r="A1493" s="3">
        <v>1487</v>
      </c>
      <c r="B1493" s="9">
        <f t="shared" si="93"/>
        <v>0.99986241869901926</v>
      </c>
      <c r="C1493" s="3">
        <f t="shared" si="94"/>
        <v>4440988.9188935636</v>
      </c>
      <c r="D1493" s="3">
        <f t="shared" si="95"/>
        <v>1.3916211994364858</v>
      </c>
      <c r="E1493" s="8">
        <f t="shared" si="92"/>
        <v>212.42857142857142</v>
      </c>
    </row>
    <row r="1494" spans="1:5" ht="18.5" x14ac:dyDescent="0.45">
      <c r="A1494" s="3">
        <v>1488</v>
      </c>
      <c r="B1494" s="9">
        <f t="shared" si="93"/>
        <v>0.99986273113707225</v>
      </c>
      <c r="C1494" s="3">
        <f t="shared" si="94"/>
        <v>4440990.3066184204</v>
      </c>
      <c r="D1494" s="3">
        <f t="shared" si="95"/>
        <v>1.3877248568460345</v>
      </c>
      <c r="E1494" s="8">
        <f t="shared" si="92"/>
        <v>212.57142857142858</v>
      </c>
    </row>
    <row r="1495" spans="1:5" ht="18.5" x14ac:dyDescent="0.45">
      <c r="A1495" s="3">
        <v>1489</v>
      </c>
      <c r="B1495" s="9">
        <f t="shared" si="93"/>
        <v>0.99986304270082249</v>
      </c>
      <c r="C1495" s="3">
        <f t="shared" si="94"/>
        <v>4440991.6904599732</v>
      </c>
      <c r="D1495" s="3">
        <f t="shared" si="95"/>
        <v>1.3838415527716279</v>
      </c>
      <c r="E1495" s="8">
        <f t="shared" si="92"/>
        <v>212.71428571428572</v>
      </c>
    </row>
    <row r="1496" spans="1:5" ht="18.5" x14ac:dyDescent="0.45">
      <c r="A1496" s="3">
        <v>1490</v>
      </c>
      <c r="B1496" s="9">
        <f t="shared" si="93"/>
        <v>0.99986335339319499</v>
      </c>
      <c r="C1496" s="3">
        <f t="shared" si="94"/>
        <v>4440993.0704312148</v>
      </c>
      <c r="D1496" s="3">
        <f t="shared" si="95"/>
        <v>1.3799712415784597</v>
      </c>
      <c r="E1496" s="8">
        <f t="shared" si="92"/>
        <v>212.85714285714286</v>
      </c>
    </row>
    <row r="1497" spans="1:5" ht="18.5" x14ac:dyDescent="0.45">
      <c r="A1497" s="3">
        <v>1491</v>
      </c>
      <c r="B1497" s="9">
        <f t="shared" si="93"/>
        <v>0.99986366321710318</v>
      </c>
      <c r="C1497" s="3">
        <f t="shared" si="94"/>
        <v>4440994.4465450859</v>
      </c>
      <c r="D1497" s="3">
        <f t="shared" si="95"/>
        <v>1.3761138711124659</v>
      </c>
      <c r="E1497" s="8">
        <f t="shared" si="92"/>
        <v>213</v>
      </c>
    </row>
    <row r="1498" spans="1:5" ht="18.5" x14ac:dyDescent="0.45">
      <c r="A1498" s="3">
        <v>1492</v>
      </c>
      <c r="B1498" s="9">
        <f t="shared" si="93"/>
        <v>0.9998639721754492</v>
      </c>
      <c r="C1498" s="3">
        <f t="shared" si="94"/>
        <v>4440995.8188144751</v>
      </c>
      <c r="D1498" s="3">
        <f t="shared" si="95"/>
        <v>1.3722693892195821</v>
      </c>
      <c r="E1498" s="8">
        <f t="shared" si="92"/>
        <v>213.14285714285714</v>
      </c>
    </row>
    <row r="1499" spans="1:5" ht="18.5" x14ac:dyDescent="0.45">
      <c r="A1499" s="3">
        <v>1493</v>
      </c>
      <c r="B1499" s="9">
        <f t="shared" si="93"/>
        <v>0.99986428027112384</v>
      </c>
      <c r="C1499" s="3">
        <f t="shared" si="94"/>
        <v>4440997.1872522235</v>
      </c>
      <c r="D1499" s="3">
        <f t="shared" si="95"/>
        <v>1.3684377484023571</v>
      </c>
      <c r="E1499" s="8">
        <f t="shared" si="92"/>
        <v>213.28571428571428</v>
      </c>
    </row>
    <row r="1500" spans="1:5" ht="18.5" x14ac:dyDescent="0.45">
      <c r="A1500" s="3">
        <v>1494</v>
      </c>
      <c r="B1500" s="9">
        <f t="shared" si="93"/>
        <v>0.99986458750700646</v>
      </c>
      <c r="C1500" s="3">
        <f t="shared" si="94"/>
        <v>4440998.55187112</v>
      </c>
      <c r="D1500" s="3">
        <f t="shared" si="95"/>
        <v>1.3646188965067267</v>
      </c>
      <c r="E1500" s="8">
        <f t="shared" si="92"/>
        <v>213.42857142857142</v>
      </c>
    </row>
    <row r="1501" spans="1:5" ht="18.5" x14ac:dyDescent="0.45">
      <c r="A1501" s="3">
        <v>1495</v>
      </c>
      <c r="B1501" s="9">
        <f t="shared" si="93"/>
        <v>0.99986489388596533</v>
      </c>
      <c r="C1501" s="3">
        <f t="shared" si="94"/>
        <v>4440999.9126839032</v>
      </c>
      <c r="D1501" s="3">
        <f t="shared" si="95"/>
        <v>1.360812783241272</v>
      </c>
      <c r="E1501" s="8">
        <f t="shared" si="92"/>
        <v>213.57142857142858</v>
      </c>
    </row>
    <row r="1502" spans="1:5" ht="18.5" x14ac:dyDescent="0.45">
      <c r="A1502" s="3">
        <v>1496</v>
      </c>
      <c r="B1502" s="9">
        <f t="shared" si="93"/>
        <v>0.99986519941085761</v>
      </c>
      <c r="C1502" s="3">
        <f t="shared" si="94"/>
        <v>4441001.2697032653</v>
      </c>
      <c r="D1502" s="3">
        <f t="shared" si="95"/>
        <v>1.3570193620398641</v>
      </c>
      <c r="E1502" s="8">
        <f t="shared" si="92"/>
        <v>213.71428571428572</v>
      </c>
    </row>
    <row r="1503" spans="1:5" ht="18.5" x14ac:dyDescent="0.45">
      <c r="A1503" s="3">
        <v>1497</v>
      </c>
      <c r="B1503" s="9">
        <f t="shared" si="93"/>
        <v>0.99986550408452923</v>
      </c>
      <c r="C1503" s="3">
        <f t="shared" si="94"/>
        <v>4441002.6229418451</v>
      </c>
      <c r="D1503" s="3">
        <f t="shared" si="95"/>
        <v>1.3532385798171163</v>
      </c>
      <c r="E1503" s="8">
        <f t="shared" si="92"/>
        <v>213.85714285714286</v>
      </c>
    </row>
    <row r="1504" spans="1:5" ht="18.5" x14ac:dyDescent="0.45">
      <c r="A1504" s="3">
        <v>1498</v>
      </c>
      <c r="B1504" s="9">
        <f t="shared" si="93"/>
        <v>0.99986580790981505</v>
      </c>
      <c r="C1504" s="3">
        <f t="shared" si="94"/>
        <v>4441003.9724122342</v>
      </c>
      <c r="D1504" s="3">
        <f t="shared" si="95"/>
        <v>1.3494703890755773</v>
      </c>
      <c r="E1504" s="8">
        <f t="shared" si="92"/>
        <v>214</v>
      </c>
    </row>
    <row r="1505" spans="1:5" ht="18.5" x14ac:dyDescent="0.45">
      <c r="A1505" s="3">
        <v>1499</v>
      </c>
      <c r="B1505" s="9">
        <f t="shared" si="93"/>
        <v>0.99986611088953903</v>
      </c>
      <c r="C1505" s="3">
        <f t="shared" si="94"/>
        <v>4441005.3181269765</v>
      </c>
      <c r="D1505" s="3">
        <f t="shared" si="95"/>
        <v>1.3457147423177958</v>
      </c>
      <c r="E1505" s="8">
        <f t="shared" si="92"/>
        <v>214.14285714285714</v>
      </c>
    </row>
    <row r="1506" spans="1:5" ht="18.5" x14ac:dyDescent="0.45">
      <c r="A1506" s="3">
        <v>1500</v>
      </c>
      <c r="B1506" s="9">
        <f t="shared" si="93"/>
        <v>0.9998664130265138</v>
      </c>
      <c r="C1506" s="3">
        <f t="shared" si="94"/>
        <v>4441006.6600985639</v>
      </c>
      <c r="D1506" s="3">
        <f t="shared" si="95"/>
        <v>1.3419715873897076</v>
      </c>
      <c r="E1506" s="8">
        <f t="shared" si="92"/>
        <v>214.28571428571428</v>
      </c>
    </row>
    <row r="1507" spans="1:5" ht="18.5" x14ac:dyDescent="0.45">
      <c r="A1507" s="3">
        <v>1501</v>
      </c>
      <c r="B1507" s="9">
        <f t="shared" si="93"/>
        <v>0.99986671432354157</v>
      </c>
      <c r="C1507" s="3">
        <f t="shared" si="94"/>
        <v>4441007.9983394425</v>
      </c>
      <c r="D1507" s="3">
        <f t="shared" si="95"/>
        <v>1.3382408786565065</v>
      </c>
      <c r="E1507" s="8">
        <f t="shared" si="92"/>
        <v>214.42857142857142</v>
      </c>
    </row>
    <row r="1508" spans="1:5" ht="18.5" x14ac:dyDescent="0.45">
      <c r="A1508" s="3">
        <v>1502</v>
      </c>
      <c r="B1508" s="9">
        <f t="shared" si="93"/>
        <v>0.99986701478341322</v>
      </c>
      <c r="C1508" s="3">
        <f t="shared" si="94"/>
        <v>4441009.3328620084</v>
      </c>
      <c r="D1508" s="3">
        <f t="shared" si="95"/>
        <v>1.3345225658267736</v>
      </c>
      <c r="E1508" s="8">
        <f t="shared" si="92"/>
        <v>214.57142857142858</v>
      </c>
    </row>
    <row r="1509" spans="1:5" ht="18.5" x14ac:dyDescent="0.45">
      <c r="A1509" s="3">
        <v>1503</v>
      </c>
      <c r="B1509" s="9">
        <f t="shared" si="93"/>
        <v>0.99986731440890908</v>
      </c>
      <c r="C1509" s="3">
        <f t="shared" si="94"/>
        <v>4441010.6636786107</v>
      </c>
      <c r="D1509" s="3">
        <f t="shared" si="95"/>
        <v>1.3308166023343801</v>
      </c>
      <c r="E1509" s="8">
        <f t="shared" si="92"/>
        <v>214.71428571428572</v>
      </c>
    </row>
    <row r="1510" spans="1:5" ht="18.5" x14ac:dyDescent="0.45">
      <c r="A1510" s="3">
        <v>1504</v>
      </c>
      <c r="B1510" s="9">
        <f t="shared" si="93"/>
        <v>0.99986761320279871</v>
      </c>
      <c r="C1510" s="3">
        <f t="shared" si="94"/>
        <v>4441011.9908015504</v>
      </c>
      <c r="D1510" s="3">
        <f t="shared" si="95"/>
        <v>1.3271229397505522</v>
      </c>
      <c r="E1510" s="8">
        <f t="shared" si="92"/>
        <v>214.85714285714286</v>
      </c>
    </row>
    <row r="1511" spans="1:5" ht="18.5" x14ac:dyDescent="0.45">
      <c r="A1511" s="3">
        <v>1505</v>
      </c>
      <c r="B1511" s="9">
        <f t="shared" si="93"/>
        <v>0.99986791116784057</v>
      </c>
      <c r="C1511" s="3">
        <f t="shared" si="94"/>
        <v>4441013.314243081</v>
      </c>
      <c r="D1511" s="3">
        <f t="shared" si="95"/>
        <v>1.3234415305778384</v>
      </c>
      <c r="E1511" s="8">
        <f t="shared" si="92"/>
        <v>215</v>
      </c>
    </row>
    <row r="1512" spans="1:5" ht="18.5" x14ac:dyDescent="0.45">
      <c r="A1512" s="3">
        <v>1506</v>
      </c>
      <c r="B1512" s="9">
        <f t="shared" si="93"/>
        <v>0.99986820830678291</v>
      </c>
      <c r="C1512" s="3">
        <f t="shared" si="94"/>
        <v>4441014.6340154074</v>
      </c>
      <c r="D1512" s="3">
        <f t="shared" si="95"/>
        <v>1.319772326387465</v>
      </c>
      <c r="E1512" s="8">
        <f t="shared" si="92"/>
        <v>215.14285714285714</v>
      </c>
    </row>
    <row r="1513" spans="1:5" ht="18.5" x14ac:dyDescent="0.45">
      <c r="A1513" s="3">
        <v>1507</v>
      </c>
      <c r="B1513" s="9">
        <f t="shared" si="93"/>
        <v>0.9998685046223631</v>
      </c>
      <c r="C1513" s="3">
        <f t="shared" si="94"/>
        <v>4441015.950130688</v>
      </c>
      <c r="D1513" s="3">
        <f t="shared" si="95"/>
        <v>1.3161152806133032</v>
      </c>
      <c r="E1513" s="8">
        <f t="shared" si="92"/>
        <v>215.28571428571428</v>
      </c>
    </row>
    <row r="1514" spans="1:5" ht="18.5" x14ac:dyDescent="0.45">
      <c r="A1514" s="3">
        <v>1508</v>
      </c>
      <c r="B1514" s="9">
        <f t="shared" si="93"/>
        <v>0.99986880011730783</v>
      </c>
      <c r="C1514" s="3">
        <f t="shared" si="94"/>
        <v>4441017.2626010347</v>
      </c>
      <c r="D1514" s="3">
        <f t="shared" si="95"/>
        <v>1.3124703466892242</v>
      </c>
      <c r="E1514" s="8">
        <f t="shared" si="92"/>
        <v>215.42857142857142</v>
      </c>
    </row>
    <row r="1515" spans="1:5" ht="18.5" x14ac:dyDescent="0.45">
      <c r="A1515" s="3">
        <v>1509</v>
      </c>
      <c r="B1515" s="9">
        <f t="shared" si="93"/>
        <v>0.99986909479433339</v>
      </c>
      <c r="C1515" s="3">
        <f t="shared" si="94"/>
        <v>4441018.5714385109</v>
      </c>
      <c r="D1515" s="3">
        <f t="shared" si="95"/>
        <v>1.3088374761864543</v>
      </c>
      <c r="E1515" s="8">
        <f t="shared" si="92"/>
        <v>215.57142857142858</v>
      </c>
    </row>
    <row r="1516" spans="1:5" ht="18.5" x14ac:dyDescent="0.45">
      <c r="A1516" s="3">
        <v>1510</v>
      </c>
      <c r="B1516" s="9">
        <f t="shared" si="93"/>
        <v>0.99986938865614572</v>
      </c>
      <c r="C1516" s="3">
        <f t="shared" si="94"/>
        <v>4441019.8766551372</v>
      </c>
      <c r="D1516" s="3">
        <f t="shared" si="95"/>
        <v>1.3052166262641549</v>
      </c>
      <c r="E1516" s="8">
        <f t="shared" si="92"/>
        <v>215.71428571428572</v>
      </c>
    </row>
    <row r="1517" spans="1:5" ht="18.5" x14ac:dyDescent="0.45">
      <c r="A1517" s="3">
        <v>1511</v>
      </c>
      <c r="B1517" s="9">
        <f t="shared" si="93"/>
        <v>0.99986968170543988</v>
      </c>
      <c r="C1517" s="3">
        <f t="shared" si="94"/>
        <v>4441021.1782628819</v>
      </c>
      <c r="D1517" s="3">
        <f t="shared" si="95"/>
        <v>1.3016077447682619</v>
      </c>
      <c r="E1517" s="8">
        <f t="shared" si="92"/>
        <v>215.85714285714286</v>
      </c>
    </row>
    <row r="1518" spans="1:5" ht="18.5" x14ac:dyDescent="0.45">
      <c r="A1518" s="3">
        <v>1512</v>
      </c>
      <c r="B1518" s="9">
        <f t="shared" si="93"/>
        <v>0.99986997394490085</v>
      </c>
      <c r="C1518" s="3">
        <f t="shared" si="94"/>
        <v>4441022.4762736717</v>
      </c>
      <c r="D1518" s="3">
        <f t="shared" si="95"/>
        <v>1.2980107897892594</v>
      </c>
      <c r="E1518" s="8">
        <f t="shared" si="92"/>
        <v>216</v>
      </c>
    </row>
    <row r="1519" spans="1:5" ht="18.5" x14ac:dyDescent="0.45">
      <c r="A1519" s="3">
        <v>1513</v>
      </c>
      <c r="B1519" s="9">
        <f t="shared" si="93"/>
        <v>0.99987026537720325</v>
      </c>
      <c r="C1519" s="3">
        <f t="shared" si="94"/>
        <v>4441023.7706993856</v>
      </c>
      <c r="D1519" s="3">
        <f t="shared" si="95"/>
        <v>1.2944257138296962</v>
      </c>
      <c r="E1519" s="8">
        <f t="shared" si="92"/>
        <v>216.14285714285714</v>
      </c>
    </row>
    <row r="1520" spans="1:5" ht="18.5" x14ac:dyDescent="0.45">
      <c r="A1520" s="3">
        <v>1514</v>
      </c>
      <c r="B1520" s="9">
        <f t="shared" si="93"/>
        <v>0.99987055600501129</v>
      </c>
      <c r="C1520" s="3">
        <f t="shared" si="94"/>
        <v>4441025.0615518577</v>
      </c>
      <c r="D1520" s="3">
        <f t="shared" si="95"/>
        <v>1.2908524721860886</v>
      </c>
      <c r="E1520" s="8">
        <f t="shared" si="92"/>
        <v>216.28571428571428</v>
      </c>
    </row>
    <row r="1521" spans="1:5" ht="18.5" x14ac:dyDescent="0.45">
      <c r="A1521" s="3">
        <v>1515</v>
      </c>
      <c r="B1521" s="9">
        <f t="shared" si="93"/>
        <v>0.99987084583097885</v>
      </c>
      <c r="C1521" s="3">
        <f t="shared" si="94"/>
        <v>4441026.348842876</v>
      </c>
      <c r="D1521" s="3">
        <f t="shared" si="95"/>
        <v>1.2872910182923079</v>
      </c>
      <c r="E1521" s="8">
        <f t="shared" si="92"/>
        <v>216.42857142857142</v>
      </c>
    </row>
    <row r="1522" spans="1:5" ht="18.5" x14ac:dyDescent="0.45">
      <c r="A1522" s="3">
        <v>1516</v>
      </c>
      <c r="B1522" s="9">
        <f t="shared" si="93"/>
        <v>0.9998711348577497</v>
      </c>
      <c r="C1522" s="3">
        <f t="shared" si="94"/>
        <v>4441027.6325841807</v>
      </c>
      <c r="D1522" s="3">
        <f t="shared" si="95"/>
        <v>1.2837413046509027</v>
      </c>
      <c r="E1522" s="8">
        <f t="shared" si="92"/>
        <v>216.57142857142858</v>
      </c>
    </row>
    <row r="1523" spans="1:5" ht="18.5" x14ac:dyDescent="0.45">
      <c r="A1523" s="3">
        <v>1517</v>
      </c>
      <c r="B1523" s="9">
        <f t="shared" si="93"/>
        <v>0.9998714230879574</v>
      </c>
      <c r="C1523" s="3">
        <f t="shared" si="94"/>
        <v>4441028.9127874719</v>
      </c>
      <c r="D1523" s="3">
        <f t="shared" si="95"/>
        <v>1.2802032912150025</v>
      </c>
      <c r="E1523" s="8">
        <f t="shared" si="92"/>
        <v>216.71428571428572</v>
      </c>
    </row>
    <row r="1524" spans="1:5" ht="18.5" x14ac:dyDescent="0.45">
      <c r="A1524" s="3">
        <v>1518</v>
      </c>
      <c r="B1524" s="9">
        <f t="shared" si="93"/>
        <v>0.99987171052422541</v>
      </c>
      <c r="C1524" s="3">
        <f t="shared" si="94"/>
        <v>4441030.1894643996</v>
      </c>
      <c r="D1524" s="3">
        <f t="shared" si="95"/>
        <v>1.2766769276931882</v>
      </c>
      <c r="E1524" s="8">
        <f t="shared" si="92"/>
        <v>216.85714285714286</v>
      </c>
    </row>
    <row r="1525" spans="1:5" ht="18.5" x14ac:dyDescent="0.45">
      <c r="A1525" s="3">
        <v>1519</v>
      </c>
      <c r="B1525" s="9">
        <f t="shared" si="93"/>
        <v>0.99987199716916708</v>
      </c>
      <c r="C1525" s="3">
        <f t="shared" si="94"/>
        <v>4441031.4626265727</v>
      </c>
      <c r="D1525" s="3">
        <f t="shared" si="95"/>
        <v>1.2731621731072664</v>
      </c>
      <c r="E1525" s="8">
        <f t="shared" si="92"/>
        <v>217</v>
      </c>
    </row>
    <row r="1526" spans="1:5" ht="18.5" x14ac:dyDescent="0.45">
      <c r="A1526" s="3">
        <v>1520</v>
      </c>
      <c r="B1526" s="9">
        <f t="shared" si="93"/>
        <v>0.99987228302538567</v>
      </c>
      <c r="C1526" s="3">
        <f t="shared" si="94"/>
        <v>4441032.7322855527</v>
      </c>
      <c r="D1526" s="3">
        <f t="shared" si="95"/>
        <v>1.2696589799597859</v>
      </c>
      <c r="E1526" s="8">
        <f t="shared" si="92"/>
        <v>217.14285714285714</v>
      </c>
    </row>
    <row r="1527" spans="1:5" ht="18.5" x14ac:dyDescent="0.45">
      <c r="A1527" s="3">
        <v>1521</v>
      </c>
      <c r="B1527" s="9">
        <f t="shared" si="93"/>
        <v>0.99987256809547442</v>
      </c>
      <c r="C1527" s="3">
        <f t="shared" si="94"/>
        <v>4441033.998452859</v>
      </c>
      <c r="D1527" s="3">
        <f t="shared" si="95"/>
        <v>1.2661673063412309</v>
      </c>
      <c r="E1527" s="8">
        <f t="shared" si="92"/>
        <v>217.28571428571428</v>
      </c>
    </row>
    <row r="1528" spans="1:5" ht="18.5" x14ac:dyDescent="0.45">
      <c r="A1528" s="3">
        <v>1522</v>
      </c>
      <c r="B1528" s="9">
        <f t="shared" si="93"/>
        <v>0.99987285238201684</v>
      </c>
      <c r="C1528" s="3">
        <f t="shared" si="94"/>
        <v>4441035.2611399656</v>
      </c>
      <c r="D1528" s="3">
        <f t="shared" si="95"/>
        <v>1.2626871066167951</v>
      </c>
      <c r="E1528" s="8">
        <f t="shared" si="92"/>
        <v>217.42857142857142</v>
      </c>
    </row>
    <row r="1529" spans="1:5" ht="18.5" x14ac:dyDescent="0.45">
      <c r="A1529" s="3">
        <v>1523</v>
      </c>
      <c r="B1529" s="9">
        <f t="shared" si="93"/>
        <v>0.9998731358875862</v>
      </c>
      <c r="C1529" s="3">
        <f t="shared" si="94"/>
        <v>4441036.5203583026</v>
      </c>
      <c r="D1529" s="3">
        <f t="shared" si="95"/>
        <v>1.2592183370143175</v>
      </c>
      <c r="E1529" s="8">
        <f t="shared" si="92"/>
        <v>217.57142857142858</v>
      </c>
    </row>
    <row r="1530" spans="1:5" ht="18.5" x14ac:dyDescent="0.45">
      <c r="A1530" s="3">
        <v>1524</v>
      </c>
      <c r="B1530" s="9">
        <f t="shared" si="93"/>
        <v>0.99987341861474599</v>
      </c>
      <c r="C1530" s="3">
        <f t="shared" si="94"/>
        <v>4441037.7761192555</v>
      </c>
      <c r="D1530" s="3">
        <f t="shared" si="95"/>
        <v>1.2557609528303146</v>
      </c>
      <c r="E1530" s="8">
        <f t="shared" si="92"/>
        <v>217.71428571428572</v>
      </c>
    </row>
    <row r="1531" spans="1:5" ht="18.5" x14ac:dyDescent="0.45">
      <c r="A1531" s="3">
        <v>1525</v>
      </c>
      <c r="B1531" s="9">
        <f t="shared" si="93"/>
        <v>0.99987370056605018</v>
      </c>
      <c r="C1531" s="3">
        <f t="shared" si="94"/>
        <v>4441039.0284341685</v>
      </c>
      <c r="D1531" s="3">
        <f t="shared" si="95"/>
        <v>1.2523149130865932</v>
      </c>
      <c r="E1531" s="8">
        <f t="shared" si="92"/>
        <v>217.85714285714286</v>
      </c>
    </row>
    <row r="1532" spans="1:5" ht="18.5" x14ac:dyDescent="0.45">
      <c r="A1532" s="3">
        <v>1526</v>
      </c>
      <c r="B1532" s="9">
        <f t="shared" si="93"/>
        <v>0.99987398174404263</v>
      </c>
      <c r="C1532" s="3">
        <f t="shared" si="94"/>
        <v>4441040.2773143398</v>
      </c>
      <c r="D1532" s="3">
        <f t="shared" si="95"/>
        <v>1.2488801712170243</v>
      </c>
      <c r="E1532" s="8">
        <f t="shared" si="92"/>
        <v>218</v>
      </c>
    </row>
    <row r="1533" spans="1:5" ht="18.5" x14ac:dyDescent="0.45">
      <c r="A1533" s="3">
        <v>1527</v>
      </c>
      <c r="B1533" s="9">
        <f t="shared" si="93"/>
        <v>0.99987426215125741</v>
      </c>
      <c r="C1533" s="3">
        <f t="shared" si="94"/>
        <v>4441041.5227710251</v>
      </c>
      <c r="D1533" s="3">
        <f t="shared" si="95"/>
        <v>1.2454566853120923</v>
      </c>
      <c r="E1533" s="8">
        <f t="shared" si="92"/>
        <v>218.14285714285714</v>
      </c>
    </row>
    <row r="1534" spans="1:5" ht="18.5" x14ac:dyDescent="0.45">
      <c r="A1534" s="3">
        <v>1528</v>
      </c>
      <c r="B1534" s="9">
        <f t="shared" si="93"/>
        <v>0.99987454179021928</v>
      </c>
      <c r="C1534" s="3">
        <f t="shared" si="94"/>
        <v>4441042.7648154376</v>
      </c>
      <c r="D1534" s="3">
        <f t="shared" si="95"/>
        <v>1.2420444125309587</v>
      </c>
      <c r="E1534" s="8">
        <f t="shared" si="92"/>
        <v>218.28571428571428</v>
      </c>
    </row>
    <row r="1535" spans="1:5" ht="18.5" x14ac:dyDescent="0.45">
      <c r="A1535" s="3">
        <v>1529</v>
      </c>
      <c r="B1535" s="9">
        <f t="shared" si="93"/>
        <v>0.99987482066344291</v>
      </c>
      <c r="C1535" s="3">
        <f t="shared" si="94"/>
        <v>4441044.0034587476</v>
      </c>
      <c r="D1535" s="3">
        <f t="shared" si="95"/>
        <v>1.2386433100327849</v>
      </c>
      <c r="E1535" s="8">
        <f t="shared" si="92"/>
        <v>218.42857142857142</v>
      </c>
    </row>
    <row r="1536" spans="1:5" ht="18.5" x14ac:dyDescent="0.45">
      <c r="A1536" s="3">
        <v>1530</v>
      </c>
      <c r="B1536" s="9">
        <f t="shared" si="93"/>
        <v>0.99987509877343372</v>
      </c>
      <c r="C1536" s="3">
        <f t="shared" si="94"/>
        <v>4441045.2387120835</v>
      </c>
      <c r="D1536" s="3">
        <f t="shared" si="95"/>
        <v>1.2352533359080553</v>
      </c>
      <c r="E1536" s="8">
        <f t="shared" si="92"/>
        <v>218.57142857142858</v>
      </c>
    </row>
    <row r="1537" spans="1:5" ht="18.5" x14ac:dyDescent="0.45">
      <c r="A1537" s="3">
        <v>1531</v>
      </c>
      <c r="B1537" s="9">
        <f t="shared" si="93"/>
        <v>0.99987537612268729</v>
      </c>
      <c r="C1537" s="3">
        <f t="shared" si="94"/>
        <v>4441046.4705865281</v>
      </c>
      <c r="D1537" s="3">
        <f t="shared" si="95"/>
        <v>1.2318744445219636</v>
      </c>
      <c r="E1537" s="8">
        <f t="shared" si="92"/>
        <v>218.71428571428572</v>
      </c>
    </row>
    <row r="1538" spans="1:5" ht="18.5" x14ac:dyDescent="0.45">
      <c r="A1538" s="3">
        <v>1532</v>
      </c>
      <c r="B1538" s="9">
        <f t="shared" si="93"/>
        <v>0.99987565271368972</v>
      </c>
      <c r="C1538" s="3">
        <f t="shared" si="94"/>
        <v>4441047.6990931239</v>
      </c>
      <c r="D1538" s="3">
        <f t="shared" si="95"/>
        <v>1.2285065958276391</v>
      </c>
      <c r="E1538" s="8">
        <f t="shared" si="92"/>
        <v>218.85714285714286</v>
      </c>
    </row>
    <row r="1539" spans="1:5" ht="18.5" x14ac:dyDescent="0.45">
      <c r="A1539" s="3">
        <v>1533</v>
      </c>
      <c r="B1539" s="9">
        <f t="shared" si="93"/>
        <v>0.99987592854891783</v>
      </c>
      <c r="C1539" s="3">
        <f t="shared" si="94"/>
        <v>4441048.9242428737</v>
      </c>
      <c r="D1539" s="3">
        <f t="shared" si="95"/>
        <v>1.2251497497782111</v>
      </c>
      <c r="E1539" s="8">
        <f t="shared" si="92"/>
        <v>219</v>
      </c>
    </row>
    <row r="1540" spans="1:5" ht="18.5" x14ac:dyDescent="0.45">
      <c r="A1540" s="3">
        <v>1534</v>
      </c>
      <c r="B1540" s="9">
        <f t="shared" si="93"/>
        <v>0.99987620363083884</v>
      </c>
      <c r="C1540" s="3">
        <f t="shared" si="94"/>
        <v>4441050.1460467335</v>
      </c>
      <c r="D1540" s="3">
        <f t="shared" si="95"/>
        <v>1.2218038598075509</v>
      </c>
      <c r="E1540" s="8">
        <f t="shared" si="92"/>
        <v>219.14285714285714</v>
      </c>
    </row>
    <row r="1541" spans="1:5" ht="18.5" x14ac:dyDescent="0.45">
      <c r="A1541" s="3">
        <v>1535</v>
      </c>
      <c r="B1541" s="9">
        <f t="shared" si="93"/>
        <v>0.99987647796191048</v>
      </c>
      <c r="C1541" s="3">
        <f t="shared" si="94"/>
        <v>4441051.3645156212</v>
      </c>
      <c r="D1541" s="3">
        <f t="shared" si="95"/>
        <v>1.2184688877314329</v>
      </c>
      <c r="E1541" s="8">
        <f t="shared" si="92"/>
        <v>219.28571428571428</v>
      </c>
    </row>
    <row r="1542" spans="1:5" ht="18.5" x14ac:dyDescent="0.45">
      <c r="A1542" s="3">
        <v>1536</v>
      </c>
      <c r="B1542" s="9">
        <f t="shared" si="93"/>
        <v>0.99987675154458122</v>
      </c>
      <c r="C1542" s="3">
        <f t="shared" si="94"/>
        <v>4441052.5796604119</v>
      </c>
      <c r="D1542" s="3">
        <f t="shared" si="95"/>
        <v>1.2151447907090187</v>
      </c>
      <c r="E1542" s="8">
        <f t="shared" si="92"/>
        <v>219.42857142857142</v>
      </c>
    </row>
    <row r="1543" spans="1:5" ht="18.5" x14ac:dyDescent="0.45">
      <c r="A1543" s="3">
        <v>1537</v>
      </c>
      <c r="B1543" s="9">
        <f t="shared" si="93"/>
        <v>0.99987702438129034</v>
      </c>
      <c r="C1543" s="3">
        <f t="shared" si="94"/>
        <v>4441053.7914919388</v>
      </c>
      <c r="D1543" s="3">
        <f t="shared" si="95"/>
        <v>1.2118315268307924</v>
      </c>
      <c r="E1543" s="8">
        <f t="shared" ref="E1543:E1606" si="96">A1543/7</f>
        <v>219.57142857142858</v>
      </c>
    </row>
    <row r="1544" spans="1:5" ht="18.5" x14ac:dyDescent="0.45">
      <c r="A1544" s="3">
        <v>1538</v>
      </c>
      <c r="B1544" s="9">
        <f t="shared" ref="B1544:B1607" si="97">LOGNORMDIST(A1544,$A$3,$B$3)</f>
        <v>0.99987729647446766</v>
      </c>
      <c r="C1544" s="3">
        <f t="shared" ref="C1544:C1607" si="98">$E$3*B1544</f>
        <v>4441055.0000209957</v>
      </c>
      <c r="D1544" s="3">
        <f t="shared" ref="D1544:D1607" si="99">C1544-C1543</f>
        <v>1.2085290569812059</v>
      </c>
      <c r="E1544" s="8">
        <f t="shared" si="96"/>
        <v>219.71428571428572</v>
      </c>
    </row>
    <row r="1545" spans="1:5" ht="18.5" x14ac:dyDescent="0.45">
      <c r="A1545" s="3">
        <v>1539</v>
      </c>
      <c r="B1545" s="9">
        <f t="shared" si="97"/>
        <v>0.9998775678265337</v>
      </c>
      <c r="C1545" s="3">
        <f t="shared" si="98"/>
        <v>4441056.2052583322</v>
      </c>
      <c r="D1545" s="3">
        <f t="shared" si="99"/>
        <v>1.2052373364567757</v>
      </c>
      <c r="E1545" s="8">
        <f t="shared" si="96"/>
        <v>219.85714285714286</v>
      </c>
    </row>
    <row r="1546" spans="1:5" ht="18.5" x14ac:dyDescent="0.45">
      <c r="A1546" s="3">
        <v>1540</v>
      </c>
      <c r="B1546" s="9">
        <f t="shared" si="97"/>
        <v>0.99987783843989997</v>
      </c>
      <c r="C1546" s="3">
        <f t="shared" si="98"/>
        <v>4441057.4072146593</v>
      </c>
      <c r="D1546" s="3">
        <f t="shared" si="99"/>
        <v>1.201956327073276</v>
      </c>
      <c r="E1546" s="8">
        <f t="shared" si="96"/>
        <v>220</v>
      </c>
    </row>
    <row r="1547" spans="1:5" ht="18.5" x14ac:dyDescent="0.45">
      <c r="A1547" s="3">
        <v>1541</v>
      </c>
      <c r="B1547" s="9">
        <f t="shared" si="97"/>
        <v>0.99987810831696877</v>
      </c>
      <c r="C1547" s="3">
        <f t="shared" si="98"/>
        <v>4441058.6059006481</v>
      </c>
      <c r="D1547" s="3">
        <f t="shared" si="99"/>
        <v>1.1986859887838364</v>
      </c>
      <c r="E1547" s="8">
        <f t="shared" si="96"/>
        <v>220.14285714285714</v>
      </c>
    </row>
    <row r="1548" spans="1:5" ht="18.5" x14ac:dyDescent="0.45">
      <c r="A1548" s="3">
        <v>1542</v>
      </c>
      <c r="B1548" s="9">
        <f t="shared" si="97"/>
        <v>0.99987837746013319</v>
      </c>
      <c r="C1548" s="3">
        <f t="shared" si="98"/>
        <v>4441059.8013269277</v>
      </c>
      <c r="D1548" s="3">
        <f t="shared" si="99"/>
        <v>1.1954262796789408</v>
      </c>
      <c r="E1548" s="8">
        <f t="shared" si="96"/>
        <v>220.28571428571428</v>
      </c>
    </row>
    <row r="1549" spans="1:5" ht="18.5" x14ac:dyDescent="0.45">
      <c r="A1549" s="3">
        <v>1543</v>
      </c>
      <c r="B1549" s="9">
        <f t="shared" si="97"/>
        <v>0.99987864587177733</v>
      </c>
      <c r="C1549" s="3">
        <f t="shared" si="98"/>
        <v>4441060.9935040865</v>
      </c>
      <c r="D1549" s="3">
        <f t="shared" si="99"/>
        <v>1.192177158780396</v>
      </c>
      <c r="E1549" s="8">
        <f t="shared" si="96"/>
        <v>220.42857142857142</v>
      </c>
    </row>
    <row r="1550" spans="1:5" ht="18.5" x14ac:dyDescent="0.45">
      <c r="A1550" s="3">
        <v>1544</v>
      </c>
      <c r="B1550" s="9">
        <f t="shared" si="97"/>
        <v>0.99987891355427627</v>
      </c>
      <c r="C1550" s="3">
        <f t="shared" si="98"/>
        <v>4441062.1824426735</v>
      </c>
      <c r="D1550" s="3">
        <f t="shared" si="99"/>
        <v>1.1889385869726539</v>
      </c>
      <c r="E1550" s="8">
        <f t="shared" si="96"/>
        <v>220.57142857142858</v>
      </c>
    </row>
    <row r="1551" spans="1:5" ht="18.5" x14ac:dyDescent="0.45">
      <c r="A1551" s="3">
        <v>1545</v>
      </c>
      <c r="B1551" s="9">
        <f t="shared" si="97"/>
        <v>0.99987918050999591</v>
      </c>
      <c r="C1551" s="3">
        <f t="shared" si="98"/>
        <v>4441063.3681531977</v>
      </c>
      <c r="D1551" s="3">
        <f t="shared" si="99"/>
        <v>1.1857105242088437</v>
      </c>
      <c r="E1551" s="8">
        <f t="shared" si="96"/>
        <v>220.71428571428572</v>
      </c>
    </row>
    <row r="1552" spans="1:5" ht="18.5" x14ac:dyDescent="0.45">
      <c r="A1552" s="3">
        <v>1546</v>
      </c>
      <c r="B1552" s="9">
        <f t="shared" si="97"/>
        <v>0.99987944674129348</v>
      </c>
      <c r="C1552" s="3">
        <f t="shared" si="98"/>
        <v>4441064.5506461291</v>
      </c>
      <c r="D1552" s="3">
        <f t="shared" si="99"/>
        <v>1.1824929313734174</v>
      </c>
      <c r="E1552" s="8">
        <f t="shared" si="96"/>
        <v>220.85714285714286</v>
      </c>
    </row>
    <row r="1553" spans="1:5" ht="18.5" x14ac:dyDescent="0.45">
      <c r="A1553" s="3">
        <v>1547</v>
      </c>
      <c r="B1553" s="9">
        <f t="shared" si="97"/>
        <v>0.99987971225051708</v>
      </c>
      <c r="C1553" s="3">
        <f t="shared" si="98"/>
        <v>4441065.7299318966</v>
      </c>
      <c r="D1553" s="3">
        <f t="shared" si="99"/>
        <v>1.1792857674881816</v>
      </c>
      <c r="E1553" s="8">
        <f t="shared" si="96"/>
        <v>221</v>
      </c>
    </row>
    <row r="1554" spans="1:5" ht="18.5" x14ac:dyDescent="0.45">
      <c r="A1554" s="3">
        <v>1548</v>
      </c>
      <c r="B1554" s="9">
        <f t="shared" si="97"/>
        <v>0.99987997704000586</v>
      </c>
      <c r="C1554" s="3">
        <f t="shared" si="98"/>
        <v>4441066.90602089</v>
      </c>
      <c r="D1554" s="3">
        <f t="shared" si="99"/>
        <v>1.1760889934375882</v>
      </c>
      <c r="E1554" s="8">
        <f t="shared" si="96"/>
        <v>221.14285714285714</v>
      </c>
    </row>
    <row r="1555" spans="1:5" ht="18.5" x14ac:dyDescent="0.45">
      <c r="A1555" s="3">
        <v>1549</v>
      </c>
      <c r="B1555" s="9">
        <f t="shared" si="97"/>
        <v>0.99988024111209028</v>
      </c>
      <c r="C1555" s="3">
        <f t="shared" si="98"/>
        <v>4441068.0789234601</v>
      </c>
      <c r="D1555" s="3">
        <f t="shared" si="99"/>
        <v>1.1729025701060891</v>
      </c>
      <c r="E1555" s="8">
        <f t="shared" si="96"/>
        <v>221.28571428571428</v>
      </c>
    </row>
    <row r="1556" spans="1:5" ht="18.5" x14ac:dyDescent="0.45">
      <c r="A1556" s="3">
        <v>1550</v>
      </c>
      <c r="B1556" s="9">
        <f t="shared" si="97"/>
        <v>0.99988050446909216</v>
      </c>
      <c r="C1556" s="3">
        <f t="shared" si="98"/>
        <v>4441069.2486499194</v>
      </c>
      <c r="D1556" s="3">
        <f t="shared" si="99"/>
        <v>1.1697264593094587</v>
      </c>
      <c r="E1556" s="8">
        <f t="shared" si="96"/>
        <v>221.42857142857142</v>
      </c>
    </row>
    <row r="1557" spans="1:5" ht="18.5" x14ac:dyDescent="0.45">
      <c r="A1557" s="3">
        <v>1551</v>
      </c>
      <c r="B1557" s="9">
        <f t="shared" si="97"/>
        <v>0.99988076711332408</v>
      </c>
      <c r="C1557" s="3">
        <f t="shared" si="98"/>
        <v>4441070.4152105404</v>
      </c>
      <c r="D1557" s="3">
        <f t="shared" si="99"/>
        <v>1.1665606210008264</v>
      </c>
      <c r="E1557" s="8">
        <f t="shared" si="96"/>
        <v>221.57142857142858</v>
      </c>
    </row>
    <row r="1558" spans="1:5" ht="18.5" x14ac:dyDescent="0.45">
      <c r="A1558" s="3">
        <v>1552</v>
      </c>
      <c r="B1558" s="9">
        <f t="shared" si="97"/>
        <v>0.9998810290470902</v>
      </c>
      <c r="C1558" s="3">
        <f t="shared" si="98"/>
        <v>4441071.5786155555</v>
      </c>
      <c r="D1558" s="3">
        <f t="shared" si="99"/>
        <v>1.1634050151333213</v>
      </c>
      <c r="E1558" s="8">
        <f t="shared" si="96"/>
        <v>221.71428571428572</v>
      </c>
    </row>
    <row r="1559" spans="1:5" ht="18.5" x14ac:dyDescent="0.45">
      <c r="A1559" s="3">
        <v>1553</v>
      </c>
      <c r="B1559" s="9">
        <f t="shared" si="97"/>
        <v>0.99988129027268602</v>
      </c>
      <c r="C1559" s="3">
        <f t="shared" si="98"/>
        <v>4441072.7388751619</v>
      </c>
      <c r="D1559" s="3">
        <f t="shared" si="99"/>
        <v>1.1602596063166857</v>
      </c>
      <c r="E1559" s="8">
        <f t="shared" si="96"/>
        <v>221.85714285714286</v>
      </c>
    </row>
    <row r="1560" spans="1:5" ht="18.5" x14ac:dyDescent="0.45">
      <c r="A1560" s="3">
        <v>1554</v>
      </c>
      <c r="B1560" s="9">
        <f t="shared" si="97"/>
        <v>0.99988155079239827</v>
      </c>
      <c r="C1560" s="3">
        <f t="shared" si="98"/>
        <v>4441073.8959995164</v>
      </c>
      <c r="D1560" s="3">
        <f t="shared" si="99"/>
        <v>1.1571243545040488</v>
      </c>
      <c r="E1560" s="8">
        <f t="shared" si="96"/>
        <v>222</v>
      </c>
    </row>
    <row r="1561" spans="1:5" ht="18.5" x14ac:dyDescent="0.45">
      <c r="A1561" s="3">
        <v>1555</v>
      </c>
      <c r="B1561" s="9">
        <f t="shared" si="97"/>
        <v>0.99988181060850501</v>
      </c>
      <c r="C1561" s="3">
        <f t="shared" si="98"/>
        <v>4441075.049998736</v>
      </c>
      <c r="D1561" s="3">
        <f t="shared" si="99"/>
        <v>1.15399921964854</v>
      </c>
      <c r="E1561" s="8">
        <f t="shared" si="96"/>
        <v>222.14285714285714</v>
      </c>
    </row>
    <row r="1562" spans="1:5" ht="18.5" x14ac:dyDescent="0.45">
      <c r="A1562" s="3">
        <v>1556</v>
      </c>
      <c r="B1562" s="9">
        <f t="shared" si="97"/>
        <v>0.99988206972327598</v>
      </c>
      <c r="C1562" s="3">
        <f t="shared" si="98"/>
        <v>4441076.2008829024</v>
      </c>
      <c r="D1562" s="3">
        <f t="shared" si="99"/>
        <v>1.1508841663599014</v>
      </c>
      <c r="E1562" s="8">
        <f t="shared" si="96"/>
        <v>222.28571428571428</v>
      </c>
    </row>
    <row r="1563" spans="1:5" ht="18.5" x14ac:dyDescent="0.45">
      <c r="A1563" s="3">
        <v>1557</v>
      </c>
      <c r="B1563" s="9">
        <f t="shared" si="97"/>
        <v>0.99988232813897204</v>
      </c>
      <c r="C1563" s="3">
        <f t="shared" si="98"/>
        <v>4441077.3486620579</v>
      </c>
      <c r="D1563" s="3">
        <f t="shared" si="99"/>
        <v>1.1477791555225849</v>
      </c>
      <c r="E1563" s="8">
        <f t="shared" si="96"/>
        <v>222.42857142857142</v>
      </c>
    </row>
    <row r="1564" spans="1:5" ht="18.5" x14ac:dyDescent="0.45">
      <c r="A1564" s="3">
        <v>1558</v>
      </c>
      <c r="B1564" s="9">
        <f t="shared" si="97"/>
        <v>0.99988258585784584</v>
      </c>
      <c r="C1564" s="3">
        <f t="shared" si="98"/>
        <v>4441078.4933462078</v>
      </c>
      <c r="D1564" s="3">
        <f t="shared" si="99"/>
        <v>1.1446841498836875</v>
      </c>
      <c r="E1564" s="8">
        <f t="shared" si="96"/>
        <v>222.57142857142858</v>
      </c>
    </row>
    <row r="1565" spans="1:5" ht="18.5" x14ac:dyDescent="0.45">
      <c r="A1565" s="3">
        <v>1559</v>
      </c>
      <c r="B1565" s="9">
        <f t="shared" si="97"/>
        <v>0.99988284288214124</v>
      </c>
      <c r="C1565" s="3">
        <f t="shared" si="98"/>
        <v>4441079.6349453181</v>
      </c>
      <c r="D1565" s="3">
        <f t="shared" si="99"/>
        <v>1.141599110327661</v>
      </c>
      <c r="E1565" s="8">
        <f t="shared" si="96"/>
        <v>222.71428571428572</v>
      </c>
    </row>
    <row r="1566" spans="1:5" ht="18.5" x14ac:dyDescent="0.45">
      <c r="A1566" s="3">
        <v>1560</v>
      </c>
      <c r="B1566" s="9">
        <f t="shared" si="97"/>
        <v>0.99988309921409402</v>
      </c>
      <c r="C1566" s="3">
        <f t="shared" si="98"/>
        <v>4441080.7734693196</v>
      </c>
      <c r="D1566" s="3">
        <f t="shared" si="99"/>
        <v>1.1385240014642477</v>
      </c>
      <c r="E1566" s="8">
        <f t="shared" si="96"/>
        <v>222.85714285714286</v>
      </c>
    </row>
    <row r="1567" spans="1:5" ht="18.5" x14ac:dyDescent="0.45">
      <c r="A1567" s="3">
        <v>1561</v>
      </c>
      <c r="B1567" s="9">
        <f t="shared" si="97"/>
        <v>0.99988335485593127</v>
      </c>
      <c r="C1567" s="3">
        <f t="shared" si="98"/>
        <v>4441081.9089281047</v>
      </c>
      <c r="D1567" s="3">
        <f t="shared" si="99"/>
        <v>1.1354587851092219</v>
      </c>
      <c r="E1567" s="8">
        <f t="shared" si="96"/>
        <v>223</v>
      </c>
    </row>
    <row r="1568" spans="1:5" ht="18.5" x14ac:dyDescent="0.45">
      <c r="A1568" s="3">
        <v>1562</v>
      </c>
      <c r="B1568" s="9">
        <f t="shared" si="97"/>
        <v>0.99988360980987201</v>
      </c>
      <c r="C1568" s="3">
        <f t="shared" si="98"/>
        <v>4441083.0413315278</v>
      </c>
      <c r="D1568" s="3">
        <f t="shared" si="99"/>
        <v>1.1324034230783582</v>
      </c>
      <c r="E1568" s="8">
        <f t="shared" si="96"/>
        <v>223.14285714285714</v>
      </c>
    </row>
    <row r="1569" spans="1:5" ht="18.5" x14ac:dyDescent="0.45">
      <c r="A1569" s="3">
        <v>1563</v>
      </c>
      <c r="B1569" s="9">
        <f t="shared" si="97"/>
        <v>0.99988386407812646</v>
      </c>
      <c r="C1569" s="3">
        <f t="shared" si="98"/>
        <v>4441084.1706894068</v>
      </c>
      <c r="D1569" s="3">
        <f t="shared" si="99"/>
        <v>1.129357879050076</v>
      </c>
      <c r="E1569" s="8">
        <f t="shared" si="96"/>
        <v>223.28571428571428</v>
      </c>
    </row>
    <row r="1570" spans="1:5" ht="18.5" x14ac:dyDescent="0.45">
      <c r="A1570" s="3">
        <v>1564</v>
      </c>
      <c r="B1570" s="9">
        <f t="shared" si="97"/>
        <v>0.9998841176628972</v>
      </c>
      <c r="C1570" s="3">
        <f t="shared" si="98"/>
        <v>4441085.2970115244</v>
      </c>
      <c r="D1570" s="3">
        <f t="shared" si="99"/>
        <v>1.1263221176341176</v>
      </c>
      <c r="E1570" s="8">
        <f t="shared" si="96"/>
        <v>223.42857142857142</v>
      </c>
    </row>
    <row r="1571" spans="1:5" ht="18.5" x14ac:dyDescent="0.45">
      <c r="A1571" s="3">
        <v>1565</v>
      </c>
      <c r="B1571" s="9">
        <f t="shared" si="97"/>
        <v>0.99988437056637791</v>
      </c>
      <c r="C1571" s="3">
        <f t="shared" si="98"/>
        <v>4441086.4203076242</v>
      </c>
      <c r="D1571" s="3">
        <f t="shared" si="99"/>
        <v>1.1232960997149348</v>
      </c>
      <c r="E1571" s="8">
        <f t="shared" si="96"/>
        <v>223.57142857142858</v>
      </c>
    </row>
    <row r="1572" spans="1:5" ht="18.5" x14ac:dyDescent="0.45">
      <c r="A1572" s="3">
        <v>1566</v>
      </c>
      <c r="B1572" s="9">
        <f t="shared" si="97"/>
        <v>0.99988462279075452</v>
      </c>
      <c r="C1572" s="3">
        <f t="shared" si="98"/>
        <v>4441087.540587415</v>
      </c>
      <c r="D1572" s="3">
        <f t="shared" si="99"/>
        <v>1.1202797908335924</v>
      </c>
      <c r="E1572" s="8">
        <f t="shared" si="96"/>
        <v>223.71428571428572</v>
      </c>
    </row>
    <row r="1573" spans="1:5" ht="18.5" x14ac:dyDescent="0.45">
      <c r="A1573" s="3">
        <v>1567</v>
      </c>
      <c r="B1573" s="9">
        <f t="shared" si="97"/>
        <v>0.99988487433820461</v>
      </c>
      <c r="C1573" s="3">
        <f t="shared" si="98"/>
        <v>4441088.6578605697</v>
      </c>
      <c r="D1573" s="3">
        <f t="shared" si="99"/>
        <v>1.11727315466851</v>
      </c>
      <c r="E1573" s="8">
        <f t="shared" si="96"/>
        <v>223.85714285714286</v>
      </c>
    </row>
    <row r="1574" spans="1:5" ht="18.5" x14ac:dyDescent="0.45">
      <c r="A1574" s="3">
        <v>1568</v>
      </c>
      <c r="B1574" s="9">
        <f t="shared" si="97"/>
        <v>0.99988512521089756</v>
      </c>
      <c r="C1574" s="3">
        <f t="shared" si="98"/>
        <v>4441089.7721367227</v>
      </c>
      <c r="D1574" s="3">
        <f t="shared" si="99"/>
        <v>1.1142761530354619</v>
      </c>
      <c r="E1574" s="8">
        <f t="shared" si="96"/>
        <v>224</v>
      </c>
    </row>
    <row r="1575" spans="1:5" ht="18.5" x14ac:dyDescent="0.45">
      <c r="A1575" s="3">
        <v>1569</v>
      </c>
      <c r="B1575" s="9">
        <f t="shared" si="97"/>
        <v>0.99988537541099476</v>
      </c>
      <c r="C1575" s="3">
        <f t="shared" si="98"/>
        <v>4441090.8834254742</v>
      </c>
      <c r="D1575" s="3">
        <f t="shared" si="99"/>
        <v>1.111288751475513</v>
      </c>
      <c r="E1575" s="8">
        <f t="shared" si="96"/>
        <v>224.14285714285714</v>
      </c>
    </row>
    <row r="1576" spans="1:5" ht="18.5" x14ac:dyDescent="0.45">
      <c r="A1576" s="3">
        <v>1570</v>
      </c>
      <c r="B1576" s="9">
        <f t="shared" si="97"/>
        <v>0.99988562494064925</v>
      </c>
      <c r="C1576" s="3">
        <f t="shared" si="98"/>
        <v>4441091.9917363878</v>
      </c>
      <c r="D1576" s="3">
        <f t="shared" si="99"/>
        <v>1.1083109136670828</v>
      </c>
      <c r="E1576" s="8">
        <f t="shared" si="96"/>
        <v>224.28571428571428</v>
      </c>
    </row>
    <row r="1577" spans="1:5" ht="18.5" x14ac:dyDescent="0.45">
      <c r="A1577" s="3">
        <v>1571</v>
      </c>
      <c r="B1577" s="9">
        <f t="shared" si="97"/>
        <v>0.99988587380200644</v>
      </c>
      <c r="C1577" s="3">
        <f t="shared" si="98"/>
        <v>4441093.0970789921</v>
      </c>
      <c r="D1577" s="3">
        <f t="shared" si="99"/>
        <v>1.1053426042199135</v>
      </c>
      <c r="E1577" s="8">
        <f t="shared" si="96"/>
        <v>224.42857142857142</v>
      </c>
    </row>
    <row r="1578" spans="1:5" ht="18.5" x14ac:dyDescent="0.45">
      <c r="A1578" s="3">
        <v>1572</v>
      </c>
      <c r="B1578" s="9">
        <f t="shared" si="97"/>
        <v>0.99988612199720339</v>
      </c>
      <c r="C1578" s="3">
        <f t="shared" si="98"/>
        <v>4441094.1994627789</v>
      </c>
      <c r="D1578" s="3">
        <f t="shared" si="99"/>
        <v>1.1023837868124247</v>
      </c>
      <c r="E1578" s="8">
        <f t="shared" si="96"/>
        <v>224.57142857142858</v>
      </c>
    </row>
    <row r="1579" spans="1:5" ht="18.5" x14ac:dyDescent="0.45">
      <c r="A1579" s="3">
        <v>1573</v>
      </c>
      <c r="B1579" s="9">
        <f t="shared" si="97"/>
        <v>0.9998863695283694</v>
      </c>
      <c r="C1579" s="3">
        <f t="shared" si="98"/>
        <v>4441095.2988972059</v>
      </c>
      <c r="D1579" s="3">
        <f t="shared" si="99"/>
        <v>1.0994344269856811</v>
      </c>
      <c r="E1579" s="8">
        <f t="shared" si="96"/>
        <v>224.71428571428572</v>
      </c>
    </row>
    <row r="1580" spans="1:5" ht="18.5" x14ac:dyDescent="0.45">
      <c r="A1580" s="3">
        <v>1574</v>
      </c>
      <c r="B1580" s="9">
        <f t="shared" si="97"/>
        <v>0.99988661639762566</v>
      </c>
      <c r="C1580" s="3">
        <f t="shared" si="98"/>
        <v>4441096.3953916943</v>
      </c>
      <c r="D1580" s="3">
        <f t="shared" si="99"/>
        <v>1.0964944884181023</v>
      </c>
      <c r="E1580" s="8">
        <f t="shared" si="96"/>
        <v>224.85714285714286</v>
      </c>
    </row>
    <row r="1581" spans="1:5" ht="18.5" x14ac:dyDescent="0.45">
      <c r="A1581" s="3">
        <v>1575</v>
      </c>
      <c r="B1581" s="9">
        <f t="shared" si="97"/>
        <v>0.99988686260708559</v>
      </c>
      <c r="C1581" s="3">
        <f t="shared" si="98"/>
        <v>4441097.4889556309</v>
      </c>
      <c r="D1581" s="3">
        <f t="shared" si="99"/>
        <v>1.093563936650753</v>
      </c>
      <c r="E1581" s="8">
        <f t="shared" si="96"/>
        <v>225</v>
      </c>
    </row>
    <row r="1582" spans="1:5" ht="18.5" x14ac:dyDescent="0.45">
      <c r="A1582" s="3">
        <v>1576</v>
      </c>
      <c r="B1582" s="9">
        <f t="shared" si="97"/>
        <v>0.99988710815885462</v>
      </c>
      <c r="C1582" s="3">
        <f t="shared" si="98"/>
        <v>4441098.5795983691</v>
      </c>
      <c r="D1582" s="3">
        <f t="shared" si="99"/>
        <v>1.0906427381560206</v>
      </c>
      <c r="E1582" s="8">
        <f t="shared" si="96"/>
        <v>225.14285714285714</v>
      </c>
    </row>
    <row r="1583" spans="1:5" ht="18.5" x14ac:dyDescent="0.45">
      <c r="A1583" s="3">
        <v>1577</v>
      </c>
      <c r="B1583" s="9">
        <f t="shared" si="97"/>
        <v>0.99988735305503051</v>
      </c>
      <c r="C1583" s="3">
        <f t="shared" si="98"/>
        <v>4441099.6673292238</v>
      </c>
      <c r="D1583" s="3">
        <f t="shared" si="99"/>
        <v>1.0877308547496796</v>
      </c>
      <c r="E1583" s="8">
        <f t="shared" si="96"/>
        <v>225.28571428571428</v>
      </c>
    </row>
    <row r="1584" spans="1:5" ht="18.5" x14ac:dyDescent="0.45">
      <c r="A1584" s="3">
        <v>1578</v>
      </c>
      <c r="B1584" s="9">
        <f t="shared" si="97"/>
        <v>0.99988759729770293</v>
      </c>
      <c r="C1584" s="3">
        <f t="shared" si="98"/>
        <v>4441100.7521574777</v>
      </c>
      <c r="D1584" s="3">
        <f t="shared" si="99"/>
        <v>1.0848282538354397</v>
      </c>
      <c r="E1584" s="8">
        <f t="shared" si="96"/>
        <v>225.42857142857142</v>
      </c>
    </row>
    <row r="1585" spans="1:5" ht="18.5" x14ac:dyDescent="0.45">
      <c r="A1585" s="3">
        <v>1579</v>
      </c>
      <c r="B1585" s="9">
        <f t="shared" si="97"/>
        <v>0.99988784088895399</v>
      </c>
      <c r="C1585" s="3">
        <f t="shared" si="98"/>
        <v>4441101.8340923777</v>
      </c>
      <c r="D1585" s="3">
        <f t="shared" si="99"/>
        <v>1.0819349000230432</v>
      </c>
      <c r="E1585" s="8">
        <f t="shared" si="96"/>
        <v>225.57142857142858</v>
      </c>
    </row>
    <row r="1586" spans="1:5" ht="18.5" x14ac:dyDescent="0.45">
      <c r="A1586" s="3">
        <v>1580</v>
      </c>
      <c r="B1586" s="9">
        <f t="shared" si="97"/>
        <v>0.99988808383085814</v>
      </c>
      <c r="C1586" s="3">
        <f t="shared" si="98"/>
        <v>4441102.9131431393</v>
      </c>
      <c r="D1586" s="3">
        <f t="shared" si="99"/>
        <v>1.0790507616475224</v>
      </c>
      <c r="E1586" s="8">
        <f t="shared" si="96"/>
        <v>225.71428571428572</v>
      </c>
    </row>
    <row r="1587" spans="1:5" ht="18.5" x14ac:dyDescent="0.45">
      <c r="A1587" s="3">
        <v>1581</v>
      </c>
      <c r="B1587" s="9">
        <f t="shared" si="97"/>
        <v>0.99988832612548195</v>
      </c>
      <c r="C1587" s="3">
        <f t="shared" si="98"/>
        <v>4441103.9893189408</v>
      </c>
      <c r="D1587" s="3">
        <f t="shared" si="99"/>
        <v>1.0761758014559746</v>
      </c>
      <c r="E1587" s="8">
        <f t="shared" si="96"/>
        <v>225.85714285714286</v>
      </c>
    </row>
    <row r="1588" spans="1:5" ht="18.5" x14ac:dyDescent="0.45">
      <c r="A1588" s="3">
        <v>1582</v>
      </c>
      <c r="B1588" s="9">
        <f t="shared" si="97"/>
        <v>0.99988856777488433</v>
      </c>
      <c r="C1588" s="3">
        <f t="shared" si="98"/>
        <v>4441105.0626289258</v>
      </c>
      <c r="D1588" s="3">
        <f t="shared" si="99"/>
        <v>1.0733099849894643</v>
      </c>
      <c r="E1588" s="8">
        <f t="shared" si="96"/>
        <v>226</v>
      </c>
    </row>
    <row r="1589" spans="1:5" ht="18.5" x14ac:dyDescent="0.45">
      <c r="A1589" s="3">
        <v>1583</v>
      </c>
      <c r="B1589" s="9">
        <f t="shared" si="97"/>
        <v>0.99988880878111652</v>
      </c>
      <c r="C1589" s="3">
        <f t="shared" si="98"/>
        <v>4441106.1330822073</v>
      </c>
      <c r="D1589" s="3">
        <f t="shared" si="99"/>
        <v>1.0704532815143466</v>
      </c>
      <c r="E1589" s="8">
        <f t="shared" si="96"/>
        <v>226.14285714285714</v>
      </c>
    </row>
    <row r="1590" spans="1:5" ht="18.5" x14ac:dyDescent="0.45">
      <c r="A1590" s="3">
        <v>1584</v>
      </c>
      <c r="B1590" s="9">
        <f t="shared" si="97"/>
        <v>0.99988904914622245</v>
      </c>
      <c r="C1590" s="3">
        <f t="shared" si="98"/>
        <v>4441107.200687862</v>
      </c>
      <c r="D1590" s="3">
        <f t="shared" si="99"/>
        <v>1.0676056547090411</v>
      </c>
      <c r="E1590" s="8">
        <f t="shared" si="96"/>
        <v>226.28571428571428</v>
      </c>
    </row>
    <row r="1591" spans="1:5" ht="18.5" x14ac:dyDescent="0.45">
      <c r="A1591" s="3">
        <v>1585</v>
      </c>
      <c r="B1591" s="9">
        <f t="shared" si="97"/>
        <v>0.99988928887223794</v>
      </c>
      <c r="C1591" s="3">
        <f t="shared" si="98"/>
        <v>4441108.2654549321</v>
      </c>
      <c r="D1591" s="3">
        <f t="shared" si="99"/>
        <v>1.0647670701146126</v>
      </c>
      <c r="E1591" s="8">
        <f t="shared" si="96"/>
        <v>226.42857142857142</v>
      </c>
    </row>
    <row r="1592" spans="1:5" ht="18.5" x14ac:dyDescent="0.45">
      <c r="A1592" s="3">
        <v>1586</v>
      </c>
      <c r="B1592" s="9">
        <f t="shared" si="97"/>
        <v>0.99988952796119179</v>
      </c>
      <c r="C1592" s="3">
        <f t="shared" si="98"/>
        <v>4441109.3273924291</v>
      </c>
      <c r="D1592" s="3">
        <f t="shared" si="99"/>
        <v>1.061937496997416</v>
      </c>
      <c r="E1592" s="8">
        <f t="shared" si="96"/>
        <v>226.57142857142858</v>
      </c>
    </row>
    <row r="1593" spans="1:5" ht="18.5" x14ac:dyDescent="0.45">
      <c r="A1593" s="3">
        <v>1587</v>
      </c>
      <c r="B1593" s="9">
        <f t="shared" si="97"/>
        <v>0.99988976641510496</v>
      </c>
      <c r="C1593" s="3">
        <f t="shared" si="98"/>
        <v>4441110.38650933</v>
      </c>
      <c r="D1593" s="3">
        <f t="shared" si="99"/>
        <v>1.0591169008985162</v>
      </c>
      <c r="E1593" s="8">
        <f t="shared" si="96"/>
        <v>226.71428571428572</v>
      </c>
    </row>
    <row r="1594" spans="1:5" ht="18.5" x14ac:dyDescent="0.45">
      <c r="A1594" s="3">
        <v>1588</v>
      </c>
      <c r="B1594" s="9">
        <f t="shared" si="97"/>
        <v>0.99989000423599106</v>
      </c>
      <c r="C1594" s="3">
        <f t="shared" si="98"/>
        <v>4441111.4428145783</v>
      </c>
      <c r="D1594" s="3">
        <f t="shared" si="99"/>
        <v>1.0563052482903004</v>
      </c>
      <c r="E1594" s="8">
        <f t="shared" si="96"/>
        <v>226.85714285714286</v>
      </c>
    </row>
    <row r="1595" spans="1:5" ht="18.5" x14ac:dyDescent="0.45">
      <c r="A1595" s="3">
        <v>1589</v>
      </c>
      <c r="B1595" s="9">
        <f t="shared" si="97"/>
        <v>0.99989024142585625</v>
      </c>
      <c r="C1595" s="3">
        <f t="shared" si="98"/>
        <v>4441112.496317083</v>
      </c>
      <c r="D1595" s="3">
        <f t="shared" si="99"/>
        <v>1.0535025047138333</v>
      </c>
      <c r="E1595" s="8">
        <f t="shared" si="96"/>
        <v>227</v>
      </c>
    </row>
    <row r="1596" spans="1:5" ht="18.5" x14ac:dyDescent="0.45">
      <c r="A1596" s="3">
        <v>1590</v>
      </c>
      <c r="B1596" s="9">
        <f t="shared" si="97"/>
        <v>0.99989047798669928</v>
      </c>
      <c r="C1596" s="3">
        <f t="shared" si="98"/>
        <v>4441113.5470257234</v>
      </c>
      <c r="D1596" s="3">
        <f t="shared" si="99"/>
        <v>1.0507086403667927</v>
      </c>
      <c r="E1596" s="8">
        <f t="shared" si="96"/>
        <v>227.14285714285714</v>
      </c>
    </row>
    <row r="1597" spans="1:5" ht="18.5" x14ac:dyDescent="0.45">
      <c r="A1597" s="3">
        <v>1591</v>
      </c>
      <c r="B1597" s="9">
        <f t="shared" si="97"/>
        <v>0.99989071392051132</v>
      </c>
      <c r="C1597" s="3">
        <f t="shared" si="98"/>
        <v>4441114.5949493432</v>
      </c>
      <c r="D1597" s="3">
        <f t="shared" si="99"/>
        <v>1.0479236198589206</v>
      </c>
      <c r="E1597" s="8">
        <f t="shared" si="96"/>
        <v>227.28571428571428</v>
      </c>
    </row>
    <row r="1598" spans="1:5" ht="18.5" x14ac:dyDescent="0.45">
      <c r="A1598" s="3">
        <v>1592</v>
      </c>
      <c r="B1598" s="9">
        <f t="shared" si="97"/>
        <v>0.99989094922927646</v>
      </c>
      <c r="C1598" s="3">
        <f t="shared" si="98"/>
        <v>4441115.6400967548</v>
      </c>
      <c r="D1598" s="3">
        <f t="shared" si="99"/>
        <v>1.0451474115252495</v>
      </c>
      <c r="E1598" s="8">
        <f t="shared" si="96"/>
        <v>227.42857142857142</v>
      </c>
    </row>
    <row r="1599" spans="1:5" ht="18.5" x14ac:dyDescent="0.45">
      <c r="A1599" s="3">
        <v>1593</v>
      </c>
      <c r="B1599" s="9">
        <f t="shared" si="97"/>
        <v>0.99989118391497145</v>
      </c>
      <c r="C1599" s="3">
        <f t="shared" si="98"/>
        <v>4441116.6824767375</v>
      </c>
      <c r="D1599" s="3">
        <f t="shared" si="99"/>
        <v>1.0423799827694893</v>
      </c>
      <c r="E1599" s="8">
        <f t="shared" si="96"/>
        <v>227.57142857142858</v>
      </c>
    </row>
    <row r="1600" spans="1:5" ht="18.5" x14ac:dyDescent="0.45">
      <c r="A1600" s="3">
        <v>1594</v>
      </c>
      <c r="B1600" s="9">
        <f t="shared" si="97"/>
        <v>0.99989141797956549</v>
      </c>
      <c r="C1600" s="3">
        <f t="shared" si="98"/>
        <v>4441117.7220980385</v>
      </c>
      <c r="D1600" s="3">
        <f t="shared" si="99"/>
        <v>1.0396213009953499</v>
      </c>
      <c r="E1600" s="8">
        <f t="shared" si="96"/>
        <v>227.71428571428572</v>
      </c>
    </row>
    <row r="1601" spans="1:5" ht="18.5" x14ac:dyDescent="0.45">
      <c r="A1601" s="3">
        <v>1595</v>
      </c>
      <c r="B1601" s="9">
        <f t="shared" si="97"/>
        <v>0.99989165142502068</v>
      </c>
      <c r="C1601" s="3">
        <f t="shared" si="98"/>
        <v>4441118.7589693721</v>
      </c>
      <c r="D1601" s="3">
        <f t="shared" si="99"/>
        <v>1.0368713336065412</v>
      </c>
      <c r="E1601" s="8">
        <f t="shared" si="96"/>
        <v>227.85714285714286</v>
      </c>
    </row>
    <row r="1602" spans="1:5" ht="18.5" x14ac:dyDescent="0.45">
      <c r="A1602" s="3">
        <v>1596</v>
      </c>
      <c r="B1602" s="9">
        <f t="shared" si="97"/>
        <v>0.99989188425329201</v>
      </c>
      <c r="C1602" s="3">
        <f t="shared" si="98"/>
        <v>4441119.793099422</v>
      </c>
      <c r="D1602" s="3">
        <f t="shared" si="99"/>
        <v>1.0341300498694181</v>
      </c>
      <c r="E1602" s="8">
        <f t="shared" si="96"/>
        <v>228</v>
      </c>
    </row>
    <row r="1603" spans="1:5" ht="18.5" x14ac:dyDescent="0.45">
      <c r="A1603" s="3">
        <v>1597</v>
      </c>
      <c r="B1603" s="9">
        <f t="shared" si="97"/>
        <v>0.99989211646632703</v>
      </c>
      <c r="C1603" s="3">
        <f t="shared" si="98"/>
        <v>4441120.8244968383</v>
      </c>
      <c r="D1603" s="3">
        <f t="shared" si="99"/>
        <v>1.0313974162563682</v>
      </c>
      <c r="E1603" s="8">
        <f t="shared" si="96"/>
        <v>228.14285714285714</v>
      </c>
    </row>
    <row r="1604" spans="1:5" ht="18.5" x14ac:dyDescent="0.45">
      <c r="A1604" s="3">
        <v>1598</v>
      </c>
      <c r="B1604" s="9">
        <f t="shared" si="97"/>
        <v>0.99989234806606631</v>
      </c>
      <c r="C1604" s="3">
        <f t="shared" si="98"/>
        <v>4441121.8531702403</v>
      </c>
      <c r="D1604" s="3">
        <f t="shared" si="99"/>
        <v>1.0286734020337462</v>
      </c>
      <c r="E1604" s="8">
        <f t="shared" si="96"/>
        <v>228.28571428571428</v>
      </c>
    </row>
    <row r="1605" spans="1:5" ht="18.5" x14ac:dyDescent="0.45">
      <c r="A1605" s="3">
        <v>1599</v>
      </c>
      <c r="B1605" s="9">
        <f t="shared" si="97"/>
        <v>0.99989257905444318</v>
      </c>
      <c r="C1605" s="3">
        <f t="shared" si="98"/>
        <v>4441122.8791282149</v>
      </c>
      <c r="D1605" s="3">
        <f t="shared" si="99"/>
        <v>1.0259579746052623</v>
      </c>
      <c r="E1605" s="8">
        <f t="shared" si="96"/>
        <v>228.42857142857142</v>
      </c>
    </row>
    <row r="1606" spans="1:5" ht="18.5" x14ac:dyDescent="0.45">
      <c r="A1606" s="3">
        <v>1600</v>
      </c>
      <c r="B1606" s="9">
        <f t="shared" si="97"/>
        <v>0.99989280943338399</v>
      </c>
      <c r="C1606" s="3">
        <f t="shared" si="98"/>
        <v>4441123.9023793181</v>
      </c>
      <c r="D1606" s="3">
        <f t="shared" si="99"/>
        <v>1.0232511032372713</v>
      </c>
      <c r="E1606" s="8">
        <f t="shared" si="96"/>
        <v>228.57142857142858</v>
      </c>
    </row>
    <row r="1607" spans="1:5" ht="18.5" x14ac:dyDescent="0.45">
      <c r="A1607" s="3">
        <v>1601</v>
      </c>
      <c r="B1607" s="9">
        <f t="shared" si="97"/>
        <v>0.99989303920480765</v>
      </c>
      <c r="C1607" s="3">
        <f t="shared" si="98"/>
        <v>4441124.9229320735</v>
      </c>
      <c r="D1607" s="3">
        <f t="shared" si="99"/>
        <v>1.0205527553334832</v>
      </c>
      <c r="E1607" s="8">
        <f t="shared" ref="E1607:E1670" si="100">A1607/7</f>
        <v>228.71428571428572</v>
      </c>
    </row>
    <row r="1608" spans="1:5" ht="18.5" x14ac:dyDescent="0.45">
      <c r="A1608" s="3">
        <v>1602</v>
      </c>
      <c r="B1608" s="9">
        <f t="shared" ref="B1608:B1671" si="101">LOGNORMDIST(A1608,$A$3,$B$3)</f>
        <v>0.99989326837062653</v>
      </c>
      <c r="C1608" s="3">
        <f t="shared" ref="C1608:C1671" si="102">$E$3*B1608</f>
        <v>4441125.9407949746</v>
      </c>
      <c r="D1608" s="3">
        <f t="shared" ref="D1608:D1671" si="103">C1608-C1607</f>
        <v>1.0178629010915756</v>
      </c>
      <c r="E1608" s="8">
        <f t="shared" si="100"/>
        <v>228.85714285714286</v>
      </c>
    </row>
    <row r="1609" spans="1:5" ht="18.5" x14ac:dyDescent="0.45">
      <c r="A1609" s="3">
        <v>1603</v>
      </c>
      <c r="B1609" s="9">
        <f t="shared" si="101"/>
        <v>0.99989349693274565</v>
      </c>
      <c r="C1609" s="3">
        <f t="shared" si="102"/>
        <v>4441126.9559764834</v>
      </c>
      <c r="D1609" s="3">
        <f t="shared" si="103"/>
        <v>1.015181508846581</v>
      </c>
      <c r="E1609" s="8">
        <f t="shared" si="100"/>
        <v>229</v>
      </c>
    </row>
    <row r="1610" spans="1:5" ht="18.5" x14ac:dyDescent="0.45">
      <c r="A1610" s="3">
        <v>1604</v>
      </c>
      <c r="B1610" s="9">
        <f t="shared" si="101"/>
        <v>0.99989372489306316</v>
      </c>
      <c r="C1610" s="3">
        <f t="shared" si="102"/>
        <v>4441127.9684850294</v>
      </c>
      <c r="D1610" s="3">
        <f t="shared" si="103"/>
        <v>1.0125085460022092</v>
      </c>
      <c r="E1610" s="8">
        <f t="shared" si="100"/>
        <v>229.14285714285714</v>
      </c>
    </row>
    <row r="1611" spans="1:5" ht="18.5" x14ac:dyDescent="0.45">
      <c r="A1611" s="3">
        <v>1605</v>
      </c>
      <c r="B1611" s="9">
        <f t="shared" si="101"/>
        <v>0.99989395225347011</v>
      </c>
      <c r="C1611" s="3">
        <f t="shared" si="102"/>
        <v>4441128.9783290131</v>
      </c>
      <c r="D1611" s="3">
        <f t="shared" si="103"/>
        <v>1.0098439836874604</v>
      </c>
      <c r="E1611" s="8">
        <f t="shared" si="100"/>
        <v>229.28571428571428</v>
      </c>
    </row>
    <row r="1612" spans="1:5" ht="18.5" x14ac:dyDescent="0.45">
      <c r="A1612" s="3">
        <v>1606</v>
      </c>
      <c r="B1612" s="9">
        <f t="shared" si="101"/>
        <v>0.99989417901585076</v>
      </c>
      <c r="C1612" s="3">
        <f t="shared" si="102"/>
        <v>4441129.9855168024</v>
      </c>
      <c r="D1612" s="3">
        <f t="shared" si="103"/>
        <v>1.0071877893060446</v>
      </c>
      <c r="E1612" s="8">
        <f t="shared" si="100"/>
        <v>229.42857142857142</v>
      </c>
    </row>
    <row r="1613" spans="1:5" ht="18.5" x14ac:dyDescent="0.45">
      <c r="A1613" s="3">
        <v>1607</v>
      </c>
      <c r="B1613" s="9">
        <f t="shared" si="101"/>
        <v>0.99989440518208239</v>
      </c>
      <c r="C1613" s="3">
        <f t="shared" si="102"/>
        <v>4441130.9900567373</v>
      </c>
      <c r="D1613" s="3">
        <f t="shared" si="103"/>
        <v>1.0045399349182844</v>
      </c>
      <c r="E1613" s="8">
        <f t="shared" si="100"/>
        <v>229.57142857142858</v>
      </c>
    </row>
    <row r="1614" spans="1:5" ht="18.5" x14ac:dyDescent="0.45">
      <c r="A1614" s="3">
        <v>1608</v>
      </c>
      <c r="B1614" s="9">
        <f t="shared" si="101"/>
        <v>0.99989463075403551</v>
      </c>
      <c r="C1614" s="3">
        <f t="shared" si="102"/>
        <v>4441131.9919571243</v>
      </c>
      <c r="D1614" s="3">
        <f t="shared" si="103"/>
        <v>1.0019003869965672</v>
      </c>
      <c r="E1614" s="8">
        <f t="shared" si="100"/>
        <v>229.71428571428572</v>
      </c>
    </row>
    <row r="1615" spans="1:5" ht="18.5" x14ac:dyDescent="0.45">
      <c r="A1615" s="3">
        <v>1609</v>
      </c>
      <c r="B1615" s="9">
        <f t="shared" si="101"/>
        <v>0.99989485573357373</v>
      </c>
      <c r="C1615" s="3">
        <f t="shared" si="102"/>
        <v>4441132.991226241</v>
      </c>
      <c r="D1615" s="3">
        <f t="shared" si="103"/>
        <v>0.99926911666989326</v>
      </c>
      <c r="E1615" s="8">
        <f t="shared" si="100"/>
        <v>229.85714285714286</v>
      </c>
    </row>
    <row r="1616" spans="1:5" ht="18.5" x14ac:dyDescent="0.45">
      <c r="A1616" s="3">
        <v>1610</v>
      </c>
      <c r="B1616" s="9">
        <f t="shared" si="101"/>
        <v>0.99989508012255368</v>
      </c>
      <c r="C1616" s="3">
        <f t="shared" si="102"/>
        <v>4441133.9878723342</v>
      </c>
      <c r="D1616" s="3">
        <f t="shared" si="103"/>
        <v>0.9966460932046175</v>
      </c>
      <c r="E1616" s="8">
        <f t="shared" si="100"/>
        <v>230</v>
      </c>
    </row>
    <row r="1617" spans="1:5" ht="18.5" x14ac:dyDescent="0.45">
      <c r="A1617" s="3">
        <v>1611</v>
      </c>
      <c r="B1617" s="9">
        <f t="shared" si="101"/>
        <v>0.99989530392282544</v>
      </c>
      <c r="C1617" s="3">
        <f t="shared" si="102"/>
        <v>4441134.9819036219</v>
      </c>
      <c r="D1617" s="3">
        <f t="shared" si="103"/>
        <v>0.99403128772974014</v>
      </c>
      <c r="E1617" s="8">
        <f t="shared" si="100"/>
        <v>230.14285714285714</v>
      </c>
    </row>
    <row r="1618" spans="1:5" ht="18.5" x14ac:dyDescent="0.45">
      <c r="A1618" s="3">
        <v>1612</v>
      </c>
      <c r="B1618" s="9">
        <f t="shared" si="101"/>
        <v>0.9998955271362322</v>
      </c>
      <c r="C1618" s="3">
        <f t="shared" si="102"/>
        <v>4441135.9733282886</v>
      </c>
      <c r="D1618" s="3">
        <f t="shared" si="103"/>
        <v>0.99142466671764851</v>
      </c>
      <c r="E1618" s="8">
        <f t="shared" si="100"/>
        <v>230.28571428571428</v>
      </c>
    </row>
    <row r="1619" spans="1:5" ht="18.5" x14ac:dyDescent="0.45">
      <c r="A1619" s="3">
        <v>1613</v>
      </c>
      <c r="B1619" s="9">
        <f t="shared" si="101"/>
        <v>0.9998957497646106</v>
      </c>
      <c r="C1619" s="3">
        <f t="shared" si="102"/>
        <v>4441136.9621544946</v>
      </c>
      <c r="D1619" s="3">
        <f t="shared" si="103"/>
        <v>0.98882620595395565</v>
      </c>
      <c r="E1619" s="8">
        <f t="shared" si="100"/>
        <v>230.42857142857142</v>
      </c>
    </row>
    <row r="1620" spans="1:5" ht="18.5" x14ac:dyDescent="0.45">
      <c r="A1620" s="3">
        <v>1614</v>
      </c>
      <c r="B1620" s="9">
        <f t="shared" si="101"/>
        <v>0.99989597180979028</v>
      </c>
      <c r="C1620" s="3">
        <f t="shared" si="102"/>
        <v>4441137.9483903646</v>
      </c>
      <c r="D1620" s="3">
        <f t="shared" si="103"/>
        <v>0.98623587004840374</v>
      </c>
      <c r="E1620" s="8">
        <f t="shared" si="100"/>
        <v>230.57142857142858</v>
      </c>
    </row>
    <row r="1621" spans="1:5" ht="18.5" x14ac:dyDescent="0.45">
      <c r="A1621" s="3">
        <v>1615</v>
      </c>
      <c r="B1621" s="9">
        <f t="shared" si="101"/>
        <v>0.99989619327359436</v>
      </c>
      <c r="C1621" s="3">
        <f t="shared" si="102"/>
        <v>4441138.9320439966</v>
      </c>
      <c r="D1621" s="3">
        <f t="shared" si="103"/>
        <v>0.98365363199263811</v>
      </c>
      <c r="E1621" s="8">
        <f t="shared" si="100"/>
        <v>230.71428571428572</v>
      </c>
    </row>
    <row r="1622" spans="1:5" ht="18.5" x14ac:dyDescent="0.45">
      <c r="A1622" s="3">
        <v>1616</v>
      </c>
      <c r="B1622" s="9">
        <f t="shared" si="101"/>
        <v>0.99989641415783936</v>
      </c>
      <c r="C1622" s="3">
        <f t="shared" si="102"/>
        <v>4441139.9131234596</v>
      </c>
      <c r="D1622" s="3">
        <f t="shared" si="103"/>
        <v>0.98107946291565895</v>
      </c>
      <c r="E1622" s="8">
        <f t="shared" si="100"/>
        <v>230.85714285714286</v>
      </c>
    </row>
    <row r="1623" spans="1:5" ht="18.5" x14ac:dyDescent="0.45">
      <c r="A1623" s="3">
        <v>1617</v>
      </c>
      <c r="B1623" s="9">
        <f t="shared" si="101"/>
        <v>0.99989663446433519</v>
      </c>
      <c r="C1623" s="3">
        <f t="shared" si="102"/>
        <v>4441140.8916367907</v>
      </c>
      <c r="D1623" s="3">
        <f t="shared" si="103"/>
        <v>0.97851333115249872</v>
      </c>
      <c r="E1623" s="8">
        <f t="shared" si="100"/>
        <v>231</v>
      </c>
    </row>
    <row r="1624" spans="1:5" ht="18.5" x14ac:dyDescent="0.45">
      <c r="A1624" s="3">
        <v>1618</v>
      </c>
      <c r="B1624" s="9">
        <f t="shared" si="101"/>
        <v>0.99989685419488505</v>
      </c>
      <c r="C1624" s="3">
        <f t="shared" si="102"/>
        <v>4441141.8675920013</v>
      </c>
      <c r="D1624" s="3">
        <f t="shared" si="103"/>
        <v>0.97595521062612534</v>
      </c>
      <c r="E1624" s="8">
        <f t="shared" si="100"/>
        <v>231.14285714285714</v>
      </c>
    </row>
    <row r="1625" spans="1:5" ht="18.5" x14ac:dyDescent="0.45">
      <c r="A1625" s="3">
        <v>1619</v>
      </c>
      <c r="B1625" s="9">
        <f t="shared" si="101"/>
        <v>0.99989707335128553</v>
      </c>
      <c r="C1625" s="3">
        <f t="shared" si="102"/>
        <v>4441142.8409970701</v>
      </c>
      <c r="D1625" s="3">
        <f t="shared" si="103"/>
        <v>0.97340506874024868</v>
      </c>
      <c r="E1625" s="8">
        <f t="shared" si="100"/>
        <v>231.28571428571428</v>
      </c>
    </row>
    <row r="1626" spans="1:5" ht="18.5" x14ac:dyDescent="0.45">
      <c r="A1626" s="3">
        <v>1620</v>
      </c>
      <c r="B1626" s="9">
        <f t="shared" si="101"/>
        <v>0.99989729193532695</v>
      </c>
      <c r="C1626" s="3">
        <f t="shared" si="102"/>
        <v>4441143.8118599486</v>
      </c>
      <c r="D1626" s="3">
        <f t="shared" si="103"/>
        <v>0.97086287848651409</v>
      </c>
      <c r="E1626" s="8">
        <f t="shared" si="100"/>
        <v>231.42857142857142</v>
      </c>
    </row>
    <row r="1627" spans="1:5" ht="18.5" x14ac:dyDescent="0.45">
      <c r="A1627" s="3">
        <v>1621</v>
      </c>
      <c r="B1627" s="9">
        <f t="shared" si="101"/>
        <v>0.99989750994879301</v>
      </c>
      <c r="C1627" s="3">
        <f t="shared" si="102"/>
        <v>4441144.7801885586</v>
      </c>
      <c r="D1627" s="3">
        <f t="shared" si="103"/>
        <v>0.96832861006259918</v>
      </c>
      <c r="E1627" s="8">
        <f t="shared" si="100"/>
        <v>231.57142857142858</v>
      </c>
    </row>
    <row r="1628" spans="1:5" ht="18.5" x14ac:dyDescent="0.45">
      <c r="A1628" s="3">
        <v>1622</v>
      </c>
      <c r="B1628" s="9">
        <f t="shared" si="101"/>
        <v>0.99989772739346061</v>
      </c>
      <c r="C1628" s="3">
        <f t="shared" si="102"/>
        <v>4441145.7459907951</v>
      </c>
      <c r="D1628" s="3">
        <f t="shared" si="103"/>
        <v>0.96580223646014929</v>
      </c>
      <c r="E1628" s="8">
        <f t="shared" si="100"/>
        <v>231.71428571428572</v>
      </c>
    </row>
    <row r="1629" spans="1:5" ht="18.5" x14ac:dyDescent="0.45">
      <c r="A1629" s="3">
        <v>1623</v>
      </c>
      <c r="B1629" s="9">
        <f t="shared" si="101"/>
        <v>0.99989794427110068</v>
      </c>
      <c r="C1629" s="3">
        <f t="shared" si="102"/>
        <v>4441146.7092745211</v>
      </c>
      <c r="D1629" s="3">
        <f t="shared" si="103"/>
        <v>0.96328372601419687</v>
      </c>
      <c r="E1629" s="8">
        <f t="shared" si="100"/>
        <v>231.85714285714286</v>
      </c>
    </row>
    <row r="1630" spans="1:5" ht="18.5" x14ac:dyDescent="0.45">
      <c r="A1630" s="3">
        <v>1624</v>
      </c>
      <c r="B1630" s="9">
        <f t="shared" si="101"/>
        <v>0.99989816058347747</v>
      </c>
      <c r="C1630" s="3">
        <f t="shared" si="102"/>
        <v>4441147.6700475737</v>
      </c>
      <c r="D1630" s="3">
        <f t="shared" si="103"/>
        <v>0.96077305264770985</v>
      </c>
      <c r="E1630" s="8">
        <f t="shared" si="100"/>
        <v>232</v>
      </c>
    </row>
    <row r="1631" spans="1:5" ht="18.5" x14ac:dyDescent="0.45">
      <c r="A1631" s="3">
        <v>1625</v>
      </c>
      <c r="B1631" s="9">
        <f t="shared" si="101"/>
        <v>0.99989837633234879</v>
      </c>
      <c r="C1631" s="3">
        <f t="shared" si="102"/>
        <v>4441148.6283177603</v>
      </c>
      <c r="D1631" s="3">
        <f t="shared" si="103"/>
        <v>0.95827018655836582</v>
      </c>
      <c r="E1631" s="8">
        <f t="shared" si="100"/>
        <v>232.14285714285714</v>
      </c>
    </row>
    <row r="1632" spans="1:5" ht="18.5" x14ac:dyDescent="0.45">
      <c r="A1632" s="3">
        <v>1626</v>
      </c>
      <c r="B1632" s="9">
        <f t="shared" si="101"/>
        <v>0.99989859151946625</v>
      </c>
      <c r="C1632" s="3">
        <f t="shared" si="102"/>
        <v>4441149.584092861</v>
      </c>
      <c r="D1632" s="3">
        <f t="shared" si="103"/>
        <v>0.95577510073781013</v>
      </c>
      <c r="E1632" s="8">
        <f t="shared" si="100"/>
        <v>232.28571428571428</v>
      </c>
    </row>
    <row r="1633" spans="1:5" ht="18.5" x14ac:dyDescent="0.45">
      <c r="A1633" s="3">
        <v>1627</v>
      </c>
      <c r="B1633" s="9">
        <f t="shared" si="101"/>
        <v>0.999898806146575</v>
      </c>
      <c r="C1633" s="3">
        <f t="shared" si="102"/>
        <v>4441150.5373806274</v>
      </c>
      <c r="D1633" s="3">
        <f t="shared" si="103"/>
        <v>0.95328776631504297</v>
      </c>
      <c r="E1633" s="8">
        <f t="shared" si="100"/>
        <v>232.42857142857142</v>
      </c>
    </row>
    <row r="1634" spans="1:5" ht="18.5" x14ac:dyDescent="0.45">
      <c r="A1634" s="3">
        <v>1628</v>
      </c>
      <c r="B1634" s="9">
        <f t="shared" si="101"/>
        <v>0.99989902021541366</v>
      </c>
      <c r="C1634" s="3">
        <f t="shared" si="102"/>
        <v>4441151.4881887808</v>
      </c>
      <c r="D1634" s="3">
        <f t="shared" si="103"/>
        <v>0.95080815348774195</v>
      </c>
      <c r="E1634" s="8">
        <f t="shared" si="100"/>
        <v>232.57142857142858</v>
      </c>
    </row>
    <row r="1635" spans="1:5" ht="18.5" x14ac:dyDescent="0.45">
      <c r="A1635" s="3">
        <v>1629</v>
      </c>
      <c r="B1635" s="9">
        <f t="shared" si="101"/>
        <v>0.99989923372771505</v>
      </c>
      <c r="C1635" s="3">
        <f t="shared" si="102"/>
        <v>4441152.4365250189</v>
      </c>
      <c r="D1635" s="3">
        <f t="shared" si="103"/>
        <v>0.94833623804152012</v>
      </c>
      <c r="E1635" s="8">
        <f t="shared" si="100"/>
        <v>232.71428571428572</v>
      </c>
    </row>
    <row r="1636" spans="1:5" ht="18.5" x14ac:dyDescent="0.45">
      <c r="A1636" s="3">
        <v>1630</v>
      </c>
      <c r="B1636" s="9">
        <f t="shared" si="101"/>
        <v>0.99989944668520525</v>
      </c>
      <c r="C1636" s="3">
        <f t="shared" si="102"/>
        <v>4441153.3823970072</v>
      </c>
      <c r="D1636" s="3">
        <f t="shared" si="103"/>
        <v>0.94587198831140995</v>
      </c>
      <c r="E1636" s="8">
        <f t="shared" si="100"/>
        <v>232.85714285714286</v>
      </c>
    </row>
    <row r="1637" spans="1:5" ht="18.5" x14ac:dyDescent="0.45">
      <c r="A1637" s="3">
        <v>1631</v>
      </c>
      <c r="B1637" s="9">
        <f t="shared" si="101"/>
        <v>0.99989965908960443</v>
      </c>
      <c r="C1637" s="3">
        <f t="shared" si="102"/>
        <v>4441154.3258123873</v>
      </c>
      <c r="D1637" s="3">
        <f t="shared" si="103"/>
        <v>0.9434153800830245</v>
      </c>
      <c r="E1637" s="8">
        <f t="shared" si="100"/>
        <v>233</v>
      </c>
    </row>
    <row r="1638" spans="1:5" ht="18.5" x14ac:dyDescent="0.45">
      <c r="A1638" s="3">
        <v>1632</v>
      </c>
      <c r="B1638" s="9">
        <f t="shared" si="101"/>
        <v>0.99989987094262633</v>
      </c>
      <c r="C1638" s="3">
        <f t="shared" si="102"/>
        <v>4441155.266778769</v>
      </c>
      <c r="D1638" s="3">
        <f t="shared" si="103"/>
        <v>0.94096638169139624</v>
      </c>
      <c r="E1638" s="8">
        <f t="shared" si="100"/>
        <v>233.14285714285714</v>
      </c>
    </row>
    <row r="1639" spans="1:5" ht="18.5" x14ac:dyDescent="0.45">
      <c r="A1639" s="3">
        <v>1633</v>
      </c>
      <c r="B1639" s="9">
        <f t="shared" si="101"/>
        <v>0.99990008224597848</v>
      </c>
      <c r="C1639" s="3">
        <f t="shared" si="102"/>
        <v>4441156.2053037379</v>
      </c>
      <c r="D1639" s="3">
        <f t="shared" si="103"/>
        <v>0.93852496892213821</v>
      </c>
      <c r="E1639" s="8">
        <f t="shared" si="100"/>
        <v>233.28571428571428</v>
      </c>
    </row>
    <row r="1640" spans="1:5" ht="18.5" x14ac:dyDescent="0.45">
      <c r="A1640" s="3">
        <v>1634</v>
      </c>
      <c r="B1640" s="9">
        <f t="shared" si="101"/>
        <v>0.99990029300136241</v>
      </c>
      <c r="C1640" s="3">
        <f t="shared" si="102"/>
        <v>4441157.1413948508</v>
      </c>
      <c r="D1640" s="3">
        <f t="shared" si="103"/>
        <v>0.93609111290425062</v>
      </c>
      <c r="E1640" s="8">
        <f t="shared" si="100"/>
        <v>233.42857142857142</v>
      </c>
    </row>
    <row r="1641" spans="1:5" ht="18.5" x14ac:dyDescent="0.45">
      <c r="A1641" s="3">
        <v>1635</v>
      </c>
      <c r="B1641" s="9">
        <f t="shared" si="101"/>
        <v>0.99990050321047341</v>
      </c>
      <c r="C1641" s="3">
        <f t="shared" si="102"/>
        <v>4441158.0750596384</v>
      </c>
      <c r="D1641" s="3">
        <f t="shared" si="103"/>
        <v>0.93366478756070137</v>
      </c>
      <c r="E1641" s="8">
        <f t="shared" si="100"/>
        <v>233.57142857142858</v>
      </c>
    </row>
    <row r="1642" spans="1:5" ht="18.5" x14ac:dyDescent="0.45">
      <c r="A1642" s="3">
        <v>1636</v>
      </c>
      <c r="B1642" s="9">
        <f t="shared" si="101"/>
        <v>0.99990071287500071</v>
      </c>
      <c r="C1642" s="3">
        <f t="shared" si="102"/>
        <v>4441159.0063056033</v>
      </c>
      <c r="D1642" s="3">
        <f t="shared" si="103"/>
        <v>0.93124596495181322</v>
      </c>
      <c r="E1642" s="8">
        <f t="shared" si="100"/>
        <v>233.71428571428572</v>
      </c>
    </row>
    <row r="1643" spans="1:5" ht="18.5" x14ac:dyDescent="0.45">
      <c r="A1643" s="3">
        <v>1637</v>
      </c>
      <c r="B1643" s="9">
        <f t="shared" si="101"/>
        <v>0.99990092199662739</v>
      </c>
      <c r="C1643" s="3">
        <f t="shared" si="102"/>
        <v>4441159.9351402204</v>
      </c>
      <c r="D1643" s="3">
        <f t="shared" si="103"/>
        <v>0.92883461713790894</v>
      </c>
      <c r="E1643" s="8">
        <f t="shared" si="100"/>
        <v>233.85714285714286</v>
      </c>
    </row>
    <row r="1644" spans="1:5" ht="18.5" x14ac:dyDescent="0.45">
      <c r="A1644" s="3">
        <v>1638</v>
      </c>
      <c r="B1644" s="9">
        <f t="shared" si="101"/>
        <v>0.99990113057703045</v>
      </c>
      <c r="C1644" s="3">
        <f t="shared" si="102"/>
        <v>4441160.8615709385</v>
      </c>
      <c r="D1644" s="3">
        <f t="shared" si="103"/>
        <v>0.92643071804195642</v>
      </c>
      <c r="E1644" s="8">
        <f t="shared" si="100"/>
        <v>234</v>
      </c>
    </row>
    <row r="1645" spans="1:5" ht="18.5" x14ac:dyDescent="0.45">
      <c r="A1645" s="3">
        <v>1639</v>
      </c>
      <c r="B1645" s="9">
        <f t="shared" si="101"/>
        <v>0.99990133861788077</v>
      </c>
      <c r="C1645" s="3">
        <f t="shared" si="102"/>
        <v>4441161.7856051791</v>
      </c>
      <c r="D1645" s="3">
        <f t="shared" si="103"/>
        <v>0.92403424065560102</v>
      </c>
      <c r="E1645" s="8">
        <f t="shared" si="100"/>
        <v>234.14285714285714</v>
      </c>
    </row>
    <row r="1646" spans="1:5" ht="18.5" x14ac:dyDescent="0.45">
      <c r="A1646" s="3">
        <v>1640</v>
      </c>
      <c r="B1646" s="9">
        <f t="shared" si="101"/>
        <v>0.99990154612084359</v>
      </c>
      <c r="C1646" s="3">
        <f t="shared" si="102"/>
        <v>4441162.707250339</v>
      </c>
      <c r="D1646" s="3">
        <f t="shared" si="103"/>
        <v>0.92164515983313322</v>
      </c>
      <c r="E1646" s="8">
        <f t="shared" si="100"/>
        <v>234.28571428571428</v>
      </c>
    </row>
    <row r="1647" spans="1:5" ht="18.5" x14ac:dyDescent="0.45">
      <c r="A1647" s="3">
        <v>1641</v>
      </c>
      <c r="B1647" s="9">
        <f t="shared" si="101"/>
        <v>0.99990175308757778</v>
      </c>
      <c r="C1647" s="3">
        <f t="shared" si="102"/>
        <v>4441163.6265137857</v>
      </c>
      <c r="D1647" s="3">
        <f t="shared" si="103"/>
        <v>0.9192634467035532</v>
      </c>
      <c r="E1647" s="8">
        <f t="shared" si="100"/>
        <v>234.42857142857142</v>
      </c>
    </row>
    <row r="1648" spans="1:5" ht="18.5" x14ac:dyDescent="0.45">
      <c r="A1648" s="3">
        <v>1642</v>
      </c>
      <c r="B1648" s="9">
        <f t="shared" si="101"/>
        <v>0.99990195951973626</v>
      </c>
      <c r="C1648" s="3">
        <f t="shared" si="102"/>
        <v>4441164.5434028609</v>
      </c>
      <c r="D1648" s="3">
        <f t="shared" si="103"/>
        <v>0.91688907518982887</v>
      </c>
      <c r="E1648" s="8">
        <f t="shared" si="100"/>
        <v>234.57142857142858</v>
      </c>
    </row>
    <row r="1649" spans="1:5" ht="18.5" x14ac:dyDescent="0.45">
      <c r="A1649" s="3">
        <v>1643</v>
      </c>
      <c r="B1649" s="9">
        <f t="shared" si="101"/>
        <v>0.99990216541896615</v>
      </c>
      <c r="C1649" s="3">
        <f t="shared" si="102"/>
        <v>4441165.4579248801</v>
      </c>
      <c r="D1649" s="3">
        <f t="shared" si="103"/>
        <v>0.91452201921492815</v>
      </c>
      <c r="E1649" s="8">
        <f t="shared" si="100"/>
        <v>234.71428571428572</v>
      </c>
    </row>
    <row r="1650" spans="1:5" ht="18.5" x14ac:dyDescent="0.45">
      <c r="A1650" s="3">
        <v>1644</v>
      </c>
      <c r="B1650" s="9">
        <f t="shared" si="101"/>
        <v>0.99990237078690869</v>
      </c>
      <c r="C1650" s="3">
        <f t="shared" si="102"/>
        <v>4441166.3700871337</v>
      </c>
      <c r="D1650" s="3">
        <f t="shared" si="103"/>
        <v>0.91216225363314152</v>
      </c>
      <c r="E1650" s="8">
        <f t="shared" si="100"/>
        <v>234.85714285714286</v>
      </c>
    </row>
    <row r="1651" spans="1:5" ht="18.5" x14ac:dyDescent="0.45">
      <c r="A1651" s="3">
        <v>1645</v>
      </c>
      <c r="B1651" s="9">
        <f t="shared" si="101"/>
        <v>0.99990257562519913</v>
      </c>
      <c r="C1651" s="3">
        <f t="shared" si="102"/>
        <v>4441167.2798968842</v>
      </c>
      <c r="D1651" s="3">
        <f t="shared" si="103"/>
        <v>0.90980975050479174</v>
      </c>
      <c r="E1651" s="8">
        <f t="shared" si="100"/>
        <v>235</v>
      </c>
    </row>
    <row r="1652" spans="1:5" ht="18.5" x14ac:dyDescent="0.45">
      <c r="A1652" s="3">
        <v>1646</v>
      </c>
      <c r="B1652" s="9">
        <f t="shared" si="101"/>
        <v>0.99990277993546672</v>
      </c>
      <c r="C1652" s="3">
        <f t="shared" si="102"/>
        <v>4441168.1873613689</v>
      </c>
      <c r="D1652" s="3">
        <f t="shared" si="103"/>
        <v>0.90746448468416929</v>
      </c>
      <c r="E1652" s="8">
        <f t="shared" si="100"/>
        <v>235.14285714285714</v>
      </c>
    </row>
    <row r="1653" spans="1:5" ht="18.5" x14ac:dyDescent="0.45">
      <c r="A1653" s="3">
        <v>1647</v>
      </c>
      <c r="B1653" s="9">
        <f t="shared" si="101"/>
        <v>0.99990298371933528</v>
      </c>
      <c r="C1653" s="3">
        <f t="shared" si="102"/>
        <v>4441169.0924877999</v>
      </c>
      <c r="D1653" s="3">
        <f t="shared" si="103"/>
        <v>0.90512643102556467</v>
      </c>
      <c r="E1653" s="8">
        <f t="shared" si="100"/>
        <v>235.28571428571428</v>
      </c>
    </row>
    <row r="1654" spans="1:5" ht="18.5" x14ac:dyDescent="0.45">
      <c r="A1654" s="3">
        <v>1648</v>
      </c>
      <c r="B1654" s="9">
        <f t="shared" si="101"/>
        <v>0.99990318697842229</v>
      </c>
      <c r="C1654" s="3">
        <f t="shared" si="102"/>
        <v>4441169.9952833606</v>
      </c>
      <c r="D1654" s="3">
        <f t="shared" si="103"/>
        <v>0.90279556065797806</v>
      </c>
      <c r="E1654" s="8">
        <f t="shared" si="100"/>
        <v>235.42857142857142</v>
      </c>
    </row>
    <row r="1655" spans="1:5" ht="18.5" x14ac:dyDescent="0.45">
      <c r="A1655" s="3">
        <v>1649</v>
      </c>
      <c r="B1655" s="9">
        <f t="shared" si="101"/>
        <v>0.9999033897143399</v>
      </c>
      <c r="C1655" s="3">
        <f t="shared" si="102"/>
        <v>4441170.8957552118</v>
      </c>
      <c r="D1655" s="3">
        <f t="shared" si="103"/>
        <v>0.90047185122966766</v>
      </c>
      <c r="E1655" s="8">
        <f t="shared" si="100"/>
        <v>235.57142857142858</v>
      </c>
    </row>
    <row r="1656" spans="1:5" ht="18.5" x14ac:dyDescent="0.45">
      <c r="A1656" s="3">
        <v>1650</v>
      </c>
      <c r="B1656" s="9">
        <f t="shared" si="101"/>
        <v>0.99990359192869416</v>
      </c>
      <c r="C1656" s="3">
        <f t="shared" si="102"/>
        <v>4441171.7939104876</v>
      </c>
      <c r="D1656" s="3">
        <f t="shared" si="103"/>
        <v>0.89815527573227882</v>
      </c>
      <c r="E1656" s="8">
        <f t="shared" si="100"/>
        <v>235.71428571428572</v>
      </c>
    </row>
    <row r="1657" spans="1:5" ht="18.5" x14ac:dyDescent="0.45">
      <c r="A1657" s="3">
        <v>1651</v>
      </c>
      <c r="B1657" s="9">
        <f t="shared" si="101"/>
        <v>0.99990379362308535</v>
      </c>
      <c r="C1657" s="3">
        <f t="shared" si="102"/>
        <v>4441172.6897562956</v>
      </c>
      <c r="D1657" s="3">
        <f t="shared" si="103"/>
        <v>0.89584580808877945</v>
      </c>
      <c r="E1657" s="8">
        <f t="shared" si="100"/>
        <v>235.85714285714286</v>
      </c>
    </row>
    <row r="1658" spans="1:5" ht="18.5" x14ac:dyDescent="0.45">
      <c r="A1658" s="3">
        <v>1652</v>
      </c>
      <c r="B1658" s="9">
        <f t="shared" si="101"/>
        <v>0.99990399479910841</v>
      </c>
      <c r="C1658" s="3">
        <f t="shared" si="102"/>
        <v>4441173.5832997197</v>
      </c>
      <c r="D1658" s="3">
        <f t="shared" si="103"/>
        <v>0.8935434240847826</v>
      </c>
      <c r="E1658" s="8">
        <f t="shared" si="100"/>
        <v>236</v>
      </c>
    </row>
    <row r="1659" spans="1:5" ht="18.5" x14ac:dyDescent="0.45">
      <c r="A1659" s="3">
        <v>1653</v>
      </c>
      <c r="B1659" s="9">
        <f t="shared" si="101"/>
        <v>0.9999041954583523</v>
      </c>
      <c r="C1659" s="3">
        <f t="shared" si="102"/>
        <v>4441174.4745478174</v>
      </c>
      <c r="D1659" s="3">
        <f t="shared" si="103"/>
        <v>0.89124809764325619</v>
      </c>
      <c r="E1659" s="8">
        <f t="shared" si="100"/>
        <v>236.14285714285714</v>
      </c>
    </row>
    <row r="1660" spans="1:5" ht="18.5" x14ac:dyDescent="0.45">
      <c r="A1660" s="3">
        <v>1654</v>
      </c>
      <c r="B1660" s="9">
        <f t="shared" si="101"/>
        <v>0.99990439560240019</v>
      </c>
      <c r="C1660" s="3">
        <f t="shared" si="102"/>
        <v>4441175.363507621</v>
      </c>
      <c r="D1660" s="3">
        <f t="shared" si="103"/>
        <v>0.8889598036184907</v>
      </c>
      <c r="E1660" s="8">
        <f t="shared" si="100"/>
        <v>236.28571428571428</v>
      </c>
    </row>
    <row r="1661" spans="1:5" ht="18.5" x14ac:dyDescent="0.45">
      <c r="A1661" s="3">
        <v>1655</v>
      </c>
      <c r="B1661" s="9">
        <f t="shared" si="101"/>
        <v>0.99990459523282971</v>
      </c>
      <c r="C1661" s="3">
        <f t="shared" si="102"/>
        <v>4441176.250186136</v>
      </c>
      <c r="D1661" s="3">
        <f t="shared" si="103"/>
        <v>0.88667851500213146</v>
      </c>
      <c r="E1661" s="8">
        <f t="shared" si="100"/>
        <v>236.42857142857142</v>
      </c>
    </row>
    <row r="1662" spans="1:5" ht="18.5" x14ac:dyDescent="0.45">
      <c r="A1662" s="3">
        <v>1656</v>
      </c>
      <c r="B1662" s="9">
        <f t="shared" si="101"/>
        <v>0.99990479435121304</v>
      </c>
      <c r="C1662" s="3">
        <f t="shared" si="102"/>
        <v>4441177.1345903482</v>
      </c>
      <c r="D1662" s="3">
        <f t="shared" si="103"/>
        <v>0.88440421223640442</v>
      </c>
      <c r="E1662" s="8">
        <f t="shared" si="100"/>
        <v>236.57142857142858</v>
      </c>
    </row>
    <row r="1663" spans="1:5" ht="18.5" x14ac:dyDescent="0.45">
      <c r="A1663" s="3">
        <v>1657</v>
      </c>
      <c r="B1663" s="9">
        <f t="shared" si="101"/>
        <v>0.99990499295911661</v>
      </c>
      <c r="C1663" s="3">
        <f t="shared" si="102"/>
        <v>4441178.0167272119</v>
      </c>
      <c r="D1663" s="3">
        <f t="shared" si="103"/>
        <v>0.88213686365634203</v>
      </c>
      <c r="E1663" s="8">
        <f t="shared" si="100"/>
        <v>236.71428571428572</v>
      </c>
    </row>
    <row r="1664" spans="1:5" ht="18.5" x14ac:dyDescent="0.45">
      <c r="A1664" s="3">
        <v>1658</v>
      </c>
      <c r="B1664" s="9">
        <f t="shared" si="101"/>
        <v>0.99990519105810105</v>
      </c>
      <c r="C1664" s="3">
        <f t="shared" si="102"/>
        <v>4441178.8966036616</v>
      </c>
      <c r="D1664" s="3">
        <f t="shared" si="103"/>
        <v>0.87987644970417023</v>
      </c>
      <c r="E1664" s="8">
        <f t="shared" si="100"/>
        <v>236.85714285714286</v>
      </c>
    </row>
    <row r="1665" spans="1:5" ht="18.5" x14ac:dyDescent="0.45">
      <c r="A1665" s="3">
        <v>1659</v>
      </c>
      <c r="B1665" s="9">
        <f t="shared" si="101"/>
        <v>0.99990538864972178</v>
      </c>
      <c r="C1665" s="3">
        <f t="shared" si="102"/>
        <v>4441179.774226604</v>
      </c>
      <c r="D1665" s="3">
        <f t="shared" si="103"/>
        <v>0.87762294244021177</v>
      </c>
      <c r="E1665" s="8">
        <f t="shared" si="100"/>
        <v>237</v>
      </c>
    </row>
    <row r="1666" spans="1:5" ht="18.5" x14ac:dyDescent="0.45">
      <c r="A1666" s="3">
        <v>1660</v>
      </c>
      <c r="B1666" s="9">
        <f t="shared" si="101"/>
        <v>0.99990558573552846</v>
      </c>
      <c r="C1666" s="3">
        <f t="shared" si="102"/>
        <v>4441180.6496029235</v>
      </c>
      <c r="D1666" s="3">
        <f t="shared" si="103"/>
        <v>0.87537631951272488</v>
      </c>
      <c r="E1666" s="8">
        <f t="shared" si="100"/>
        <v>237.14285714285714</v>
      </c>
    </row>
    <row r="1667" spans="1:5" ht="18.5" x14ac:dyDescent="0.45">
      <c r="A1667" s="3">
        <v>1661</v>
      </c>
      <c r="B1667" s="9">
        <f t="shared" si="101"/>
        <v>0.99990578231706528</v>
      </c>
      <c r="C1667" s="3">
        <f t="shared" si="102"/>
        <v>4441181.5227394775</v>
      </c>
      <c r="D1667" s="3">
        <f t="shared" si="103"/>
        <v>0.87313655391335487</v>
      </c>
      <c r="E1667" s="8">
        <f t="shared" si="100"/>
        <v>237.28571428571428</v>
      </c>
    </row>
    <row r="1668" spans="1:5" ht="18.5" x14ac:dyDescent="0.45">
      <c r="A1668" s="3">
        <v>1662</v>
      </c>
      <c r="B1668" s="9">
        <f t="shared" si="101"/>
        <v>0.99990597839587103</v>
      </c>
      <c r="C1668" s="3">
        <f t="shared" si="102"/>
        <v>4441182.3936431007</v>
      </c>
      <c r="D1668" s="3">
        <f t="shared" si="103"/>
        <v>0.87090362329035997</v>
      </c>
      <c r="E1668" s="8">
        <f t="shared" si="100"/>
        <v>237.42857142857142</v>
      </c>
    </row>
    <row r="1669" spans="1:5" ht="18.5" x14ac:dyDescent="0.45">
      <c r="A1669" s="3">
        <v>1663</v>
      </c>
      <c r="B1669" s="9">
        <f t="shared" si="101"/>
        <v>0.99990617397347881</v>
      </c>
      <c r="C1669" s="3">
        <f t="shared" si="102"/>
        <v>4441183.2623206032</v>
      </c>
      <c r="D1669" s="3">
        <f t="shared" si="103"/>
        <v>0.86867750249803066</v>
      </c>
      <c r="E1669" s="8">
        <f t="shared" si="100"/>
        <v>237.57142857142858</v>
      </c>
    </row>
    <row r="1670" spans="1:5" ht="18.5" x14ac:dyDescent="0.45">
      <c r="A1670" s="3">
        <v>1664</v>
      </c>
      <c r="B1670" s="9">
        <f t="shared" si="101"/>
        <v>0.9999063690514165</v>
      </c>
      <c r="C1670" s="3">
        <f t="shared" si="102"/>
        <v>4441184.1287787715</v>
      </c>
      <c r="D1670" s="3">
        <f t="shared" si="103"/>
        <v>0.86645816825330257</v>
      </c>
      <c r="E1670" s="8">
        <f t="shared" si="100"/>
        <v>237.71428571428572</v>
      </c>
    </row>
    <row r="1671" spans="1:5" ht="18.5" x14ac:dyDescent="0.45">
      <c r="A1671" s="3">
        <v>1665</v>
      </c>
      <c r="B1671" s="9">
        <f t="shared" si="101"/>
        <v>0.99990656363120645</v>
      </c>
      <c r="C1671" s="3">
        <f t="shared" si="102"/>
        <v>4441184.9930243669</v>
      </c>
      <c r="D1671" s="3">
        <f t="shared" si="103"/>
        <v>0.86424559541046619</v>
      </c>
      <c r="E1671" s="8">
        <f t="shared" ref="E1671:E1734" si="104">A1671/7</f>
        <v>237.85714285714286</v>
      </c>
    </row>
    <row r="1672" spans="1:5" ht="18.5" x14ac:dyDescent="0.45">
      <c r="A1672" s="3">
        <v>1666</v>
      </c>
      <c r="B1672" s="9">
        <f t="shared" ref="B1672:B1735" si="105">LOGNORMDIST(A1672,$A$3,$B$3)</f>
        <v>0.99990675771436566</v>
      </c>
      <c r="C1672" s="3">
        <f t="shared" ref="C1672:C1735" si="106">$E$3*B1672</f>
        <v>4441185.8550641267</v>
      </c>
      <c r="D1672" s="3">
        <f t="shared" ref="D1672:D1735" si="107">C1672-C1671</f>
        <v>0.86203975975513458</v>
      </c>
      <c r="E1672" s="8">
        <f t="shared" si="104"/>
        <v>238</v>
      </c>
    </row>
    <row r="1673" spans="1:5" ht="18.5" x14ac:dyDescent="0.45">
      <c r="A1673" s="3">
        <v>1667</v>
      </c>
      <c r="B1673" s="9">
        <f t="shared" si="105"/>
        <v>0.99990695130240559</v>
      </c>
      <c r="C1673" s="3">
        <f t="shared" si="106"/>
        <v>4441186.7149047647</v>
      </c>
      <c r="D1673" s="3">
        <f t="shared" si="107"/>
        <v>0.85984063800424337</v>
      </c>
      <c r="E1673" s="8">
        <f t="shared" si="104"/>
        <v>238.14285714285714</v>
      </c>
    </row>
    <row r="1674" spans="1:5" ht="18.5" x14ac:dyDescent="0.45">
      <c r="A1674" s="3">
        <v>1668</v>
      </c>
      <c r="B1674" s="9">
        <f t="shared" si="105"/>
        <v>0.99990714439683248</v>
      </c>
      <c r="C1674" s="3">
        <f t="shared" si="106"/>
        <v>4441187.5725529715</v>
      </c>
      <c r="D1674" s="3">
        <f t="shared" si="107"/>
        <v>0.8576482068747282</v>
      </c>
      <c r="E1674" s="8">
        <f t="shared" si="104"/>
        <v>238.28571428571428</v>
      </c>
    </row>
    <row r="1675" spans="1:5" ht="18.5" x14ac:dyDescent="0.45">
      <c r="A1675" s="3">
        <v>1669</v>
      </c>
      <c r="B1675" s="9">
        <f t="shared" si="105"/>
        <v>0.99990733699914713</v>
      </c>
      <c r="C1675" s="3">
        <f t="shared" si="106"/>
        <v>4441188.4280154118</v>
      </c>
      <c r="D1675" s="3">
        <f t="shared" si="107"/>
        <v>0.85546244028955698</v>
      </c>
      <c r="E1675" s="8">
        <f t="shared" si="104"/>
        <v>238.42857142857142</v>
      </c>
    </row>
    <row r="1676" spans="1:5" ht="18.5" x14ac:dyDescent="0.45">
      <c r="A1676" s="3">
        <v>1670</v>
      </c>
      <c r="B1676" s="9">
        <f t="shared" si="105"/>
        <v>0.99990752911084513</v>
      </c>
      <c r="C1676" s="3">
        <f t="shared" si="106"/>
        <v>4441189.2812987296</v>
      </c>
      <c r="D1676" s="3">
        <f t="shared" si="107"/>
        <v>0.85328331775963306</v>
      </c>
      <c r="E1676" s="8">
        <f t="shared" si="104"/>
        <v>238.57142857142858</v>
      </c>
    </row>
    <row r="1677" spans="1:5" ht="18.5" x14ac:dyDescent="0.45">
      <c r="A1677" s="3">
        <v>1671</v>
      </c>
      <c r="B1677" s="9">
        <f t="shared" si="105"/>
        <v>0.99990772073341683</v>
      </c>
      <c r="C1677" s="3">
        <f t="shared" si="106"/>
        <v>4441190.1324095437</v>
      </c>
      <c r="D1677" s="3">
        <f t="shared" si="107"/>
        <v>0.85111081413924694</v>
      </c>
      <c r="E1677" s="8">
        <f t="shared" si="104"/>
        <v>238.71428571428572</v>
      </c>
    </row>
    <row r="1678" spans="1:5" ht="18.5" x14ac:dyDescent="0.45">
      <c r="A1678" s="3">
        <v>1672</v>
      </c>
      <c r="B1678" s="9">
        <f t="shared" si="105"/>
        <v>0.99990791186834693</v>
      </c>
      <c r="C1678" s="3">
        <f t="shared" si="106"/>
        <v>4441190.9813544499</v>
      </c>
      <c r="D1678" s="3">
        <f t="shared" si="107"/>
        <v>0.84894490614533424</v>
      </c>
      <c r="E1678" s="8">
        <f t="shared" si="104"/>
        <v>238.85714285714286</v>
      </c>
    </row>
    <row r="1679" spans="1:5" ht="18.5" x14ac:dyDescent="0.45">
      <c r="A1679" s="3">
        <v>1673</v>
      </c>
      <c r="B1679" s="9">
        <f t="shared" si="105"/>
        <v>0.99990810251711537</v>
      </c>
      <c r="C1679" s="3">
        <f t="shared" si="106"/>
        <v>4441191.8281400194</v>
      </c>
      <c r="D1679" s="3">
        <f t="shared" si="107"/>
        <v>0.84678556956350803</v>
      </c>
      <c r="E1679" s="8">
        <f t="shared" si="104"/>
        <v>239</v>
      </c>
    </row>
    <row r="1680" spans="1:5" ht="18.5" x14ac:dyDescent="0.45">
      <c r="A1680" s="3">
        <v>1674</v>
      </c>
      <c r="B1680" s="9">
        <f t="shared" si="105"/>
        <v>0.99990829268119663</v>
      </c>
      <c r="C1680" s="3">
        <f t="shared" si="106"/>
        <v>4441192.6727728033</v>
      </c>
      <c r="D1680" s="3">
        <f t="shared" si="107"/>
        <v>0.84463278390467167</v>
      </c>
      <c r="E1680" s="8">
        <f t="shared" si="104"/>
        <v>239.14285714285714</v>
      </c>
    </row>
    <row r="1681" spans="1:5" ht="18.5" x14ac:dyDescent="0.45">
      <c r="A1681" s="3">
        <v>1675</v>
      </c>
      <c r="B1681" s="9">
        <f t="shared" si="105"/>
        <v>0.99990848236205987</v>
      </c>
      <c r="C1681" s="3">
        <f t="shared" si="106"/>
        <v>4441193.5152593255</v>
      </c>
      <c r="D1681" s="3">
        <f t="shared" si="107"/>
        <v>0.84248652216047049</v>
      </c>
      <c r="E1681" s="8">
        <f t="shared" si="104"/>
        <v>239.28571428571428</v>
      </c>
    </row>
    <row r="1682" spans="1:5" ht="18.5" x14ac:dyDescent="0.45">
      <c r="A1682" s="3">
        <v>1676</v>
      </c>
      <c r="B1682" s="9">
        <f t="shared" si="105"/>
        <v>0.99990867156116914</v>
      </c>
      <c r="C1682" s="3">
        <f t="shared" si="106"/>
        <v>4441194.3556060884</v>
      </c>
      <c r="D1682" s="3">
        <f t="shared" si="107"/>
        <v>0.84034676291048527</v>
      </c>
      <c r="E1682" s="8">
        <f t="shared" si="104"/>
        <v>239.42857142857142</v>
      </c>
    </row>
    <row r="1683" spans="1:5" ht="18.5" x14ac:dyDescent="0.45">
      <c r="A1683" s="3">
        <v>1677</v>
      </c>
      <c r="B1683" s="9">
        <f t="shared" si="105"/>
        <v>0.99990886027998338</v>
      </c>
      <c r="C1683" s="3">
        <f t="shared" si="106"/>
        <v>4441195.1938195741</v>
      </c>
      <c r="D1683" s="3">
        <f t="shared" si="107"/>
        <v>0.83821348566561937</v>
      </c>
      <c r="E1683" s="8">
        <f t="shared" si="104"/>
        <v>239.57142857142858</v>
      </c>
    </row>
    <row r="1684" spans="1:5" ht="18.5" x14ac:dyDescent="0.45">
      <c r="A1684" s="3">
        <v>1678</v>
      </c>
      <c r="B1684" s="9">
        <f t="shared" si="105"/>
        <v>0.99990904851995643</v>
      </c>
      <c r="C1684" s="3">
        <f t="shared" si="106"/>
        <v>4441196.0299062384</v>
      </c>
      <c r="D1684" s="3">
        <f t="shared" si="107"/>
        <v>0.83608666434884071</v>
      </c>
      <c r="E1684" s="8">
        <f t="shared" si="104"/>
        <v>239.71428571428572</v>
      </c>
    </row>
    <row r="1685" spans="1:5" ht="18.5" x14ac:dyDescent="0.45">
      <c r="A1685" s="3">
        <v>1679</v>
      </c>
      <c r="B1685" s="9">
        <f t="shared" si="105"/>
        <v>0.99990923628253681</v>
      </c>
      <c r="C1685" s="3">
        <f t="shared" si="106"/>
        <v>4441196.863872515</v>
      </c>
      <c r="D1685" s="3">
        <f t="shared" si="107"/>
        <v>0.8339662766084075</v>
      </c>
      <c r="E1685" s="8">
        <f t="shared" si="104"/>
        <v>239.85714285714286</v>
      </c>
    </row>
    <row r="1686" spans="1:5" ht="18.5" x14ac:dyDescent="0.45">
      <c r="A1686" s="3">
        <v>1680</v>
      </c>
      <c r="B1686" s="9">
        <f t="shared" si="105"/>
        <v>0.99990942356916801</v>
      </c>
      <c r="C1686" s="3">
        <f t="shared" si="106"/>
        <v>4441197.695724817</v>
      </c>
      <c r="D1686" s="3">
        <f t="shared" si="107"/>
        <v>0.83185230195522308</v>
      </c>
      <c r="E1686" s="8">
        <f t="shared" si="104"/>
        <v>240</v>
      </c>
    </row>
    <row r="1687" spans="1:5" ht="18.5" x14ac:dyDescent="0.45">
      <c r="A1687" s="3">
        <v>1681</v>
      </c>
      <c r="B1687" s="9">
        <f t="shared" si="105"/>
        <v>0.99990961038128856</v>
      </c>
      <c r="C1687" s="3">
        <f t="shared" si="106"/>
        <v>4441198.5254695313</v>
      </c>
      <c r="D1687" s="3">
        <f t="shared" si="107"/>
        <v>0.82974471431225538</v>
      </c>
      <c r="E1687" s="8">
        <f t="shared" si="104"/>
        <v>240.14285714285714</v>
      </c>
    </row>
    <row r="1688" spans="1:5" ht="18.5" x14ac:dyDescent="0.45">
      <c r="A1688" s="3">
        <v>1682</v>
      </c>
      <c r="B1688" s="9">
        <f t="shared" si="105"/>
        <v>0.99990979672033176</v>
      </c>
      <c r="C1688" s="3">
        <f t="shared" si="106"/>
        <v>4441199.3531130254</v>
      </c>
      <c r="D1688" s="3">
        <f t="shared" si="107"/>
        <v>0.82764349412173033</v>
      </c>
      <c r="E1688" s="8">
        <f t="shared" si="104"/>
        <v>240.28571428571428</v>
      </c>
    </row>
    <row r="1689" spans="1:5" ht="18.5" x14ac:dyDescent="0.45">
      <c r="A1689" s="3">
        <v>1683</v>
      </c>
      <c r="B1689" s="9">
        <f t="shared" si="105"/>
        <v>0.99990998258772601</v>
      </c>
      <c r="C1689" s="3">
        <f t="shared" si="106"/>
        <v>4441200.1786616435</v>
      </c>
      <c r="D1689" s="3">
        <f t="shared" si="107"/>
        <v>0.82554861810058355</v>
      </c>
      <c r="E1689" s="8">
        <f t="shared" si="104"/>
        <v>240.42857142857142</v>
      </c>
    </row>
    <row r="1690" spans="1:5" ht="18.5" x14ac:dyDescent="0.45">
      <c r="A1690" s="3">
        <v>1684</v>
      </c>
      <c r="B1690" s="9">
        <f t="shared" si="105"/>
        <v>0.9999101679848944</v>
      </c>
      <c r="C1690" s="3">
        <f t="shared" si="106"/>
        <v>4441201.0021217074</v>
      </c>
      <c r="D1690" s="3">
        <f t="shared" si="107"/>
        <v>0.82346006389707327</v>
      </c>
      <c r="E1690" s="8">
        <f t="shared" si="104"/>
        <v>240.57142857142858</v>
      </c>
    </row>
    <row r="1691" spans="1:5" ht="18.5" x14ac:dyDescent="0.45">
      <c r="A1691" s="3">
        <v>1685</v>
      </c>
      <c r="B1691" s="9">
        <f t="shared" si="105"/>
        <v>0.99991035291325547</v>
      </c>
      <c r="C1691" s="3">
        <f t="shared" si="106"/>
        <v>4441201.8234995157</v>
      </c>
      <c r="D1691" s="3">
        <f t="shared" si="107"/>
        <v>0.82137780822813511</v>
      </c>
      <c r="E1691" s="8">
        <f t="shared" si="104"/>
        <v>240.71428571428572</v>
      </c>
    </row>
    <row r="1692" spans="1:5" ht="18.5" x14ac:dyDescent="0.45">
      <c r="A1692" s="3">
        <v>1686</v>
      </c>
      <c r="B1692" s="9">
        <f t="shared" si="105"/>
        <v>0.99991053737422231</v>
      </c>
      <c r="C1692" s="3">
        <f t="shared" si="106"/>
        <v>4441202.6428013463</v>
      </c>
      <c r="D1692" s="3">
        <f t="shared" si="107"/>
        <v>0.81930183060467243</v>
      </c>
      <c r="E1692" s="8">
        <f t="shared" si="104"/>
        <v>240.85714285714286</v>
      </c>
    </row>
    <row r="1693" spans="1:5" ht="18.5" x14ac:dyDescent="0.45">
      <c r="A1693" s="3">
        <v>1687</v>
      </c>
      <c r="B1693" s="9">
        <f t="shared" si="105"/>
        <v>0.99991072136920334</v>
      </c>
      <c r="C1693" s="3">
        <f t="shared" si="106"/>
        <v>4441203.460033454</v>
      </c>
      <c r="D1693" s="3">
        <f t="shared" si="107"/>
        <v>0.81723210774362087</v>
      </c>
      <c r="E1693" s="8">
        <f t="shared" si="104"/>
        <v>241</v>
      </c>
    </row>
    <row r="1694" spans="1:5" ht="18.5" x14ac:dyDescent="0.45">
      <c r="A1694" s="3">
        <v>1688</v>
      </c>
      <c r="B1694" s="9">
        <f t="shared" si="105"/>
        <v>0.99991090489960188</v>
      </c>
      <c r="C1694" s="3">
        <f t="shared" si="106"/>
        <v>4441204.2752020713</v>
      </c>
      <c r="D1694" s="3">
        <f t="shared" si="107"/>
        <v>0.81516861729323864</v>
      </c>
      <c r="E1694" s="8">
        <f t="shared" si="104"/>
        <v>241.14285714285714</v>
      </c>
    </row>
    <row r="1695" spans="1:5" ht="18.5" x14ac:dyDescent="0.45">
      <c r="A1695" s="3">
        <v>1689</v>
      </c>
      <c r="B1695" s="9">
        <f t="shared" si="105"/>
        <v>0.9999110879668166</v>
      </c>
      <c r="C1695" s="3">
        <f t="shared" si="106"/>
        <v>4441205.0883134129</v>
      </c>
      <c r="D1695" s="3">
        <f t="shared" si="107"/>
        <v>0.81311134155839682</v>
      </c>
      <c r="E1695" s="8">
        <f t="shared" si="104"/>
        <v>241.28571428571428</v>
      </c>
    </row>
    <row r="1696" spans="1:5" ht="18.5" x14ac:dyDescent="0.45">
      <c r="A1696" s="3">
        <v>1690</v>
      </c>
      <c r="B1696" s="9">
        <f t="shared" si="105"/>
        <v>0.99991127057224072</v>
      </c>
      <c r="C1696" s="3">
        <f t="shared" si="106"/>
        <v>4441205.8993736645</v>
      </c>
      <c r="D1696" s="3">
        <f t="shared" si="107"/>
        <v>0.81106025166809559</v>
      </c>
      <c r="E1696" s="8">
        <f t="shared" si="104"/>
        <v>241.42857142857142</v>
      </c>
    </row>
    <row r="1697" spans="1:5" ht="18.5" x14ac:dyDescent="0.45">
      <c r="A1697" s="3">
        <v>1691</v>
      </c>
      <c r="B1697" s="9">
        <f t="shared" si="105"/>
        <v>0.99991145271726323</v>
      </c>
      <c r="C1697" s="3">
        <f t="shared" si="106"/>
        <v>4441206.7083889963</v>
      </c>
      <c r="D1697" s="3">
        <f t="shared" si="107"/>
        <v>0.80901533178985119</v>
      </c>
      <c r="E1697" s="8">
        <f t="shared" si="104"/>
        <v>241.57142857142858</v>
      </c>
    </row>
    <row r="1698" spans="1:5" ht="18.5" x14ac:dyDescent="0.45">
      <c r="A1698" s="3">
        <v>1692</v>
      </c>
      <c r="B1698" s="9">
        <f t="shared" si="105"/>
        <v>0.9999116344032678</v>
      </c>
      <c r="C1698" s="3">
        <f t="shared" si="106"/>
        <v>4441207.515365554</v>
      </c>
      <c r="D1698" s="3">
        <f t="shared" si="107"/>
        <v>0.80697655770927668</v>
      </c>
      <c r="E1698" s="8">
        <f t="shared" si="104"/>
        <v>241.71428571428572</v>
      </c>
    </row>
    <row r="1699" spans="1:5" ht="18.5" x14ac:dyDescent="0.45">
      <c r="A1699" s="3">
        <v>1693</v>
      </c>
      <c r="B1699" s="9">
        <f t="shared" si="105"/>
        <v>0.99991181563163323</v>
      </c>
      <c r="C1699" s="3">
        <f t="shared" si="106"/>
        <v>4441208.320309462</v>
      </c>
      <c r="D1699" s="3">
        <f t="shared" si="107"/>
        <v>0.80494390800595284</v>
      </c>
      <c r="E1699" s="8">
        <f t="shared" si="104"/>
        <v>241.85714285714286</v>
      </c>
    </row>
    <row r="1700" spans="1:5" ht="18.5" x14ac:dyDescent="0.45">
      <c r="A1700" s="3">
        <v>1694</v>
      </c>
      <c r="B1700" s="9">
        <f t="shared" si="105"/>
        <v>0.99991199640373396</v>
      </c>
      <c r="C1700" s="3">
        <f t="shared" si="106"/>
        <v>4441209.1232268251</v>
      </c>
      <c r="D1700" s="3">
        <f t="shared" si="107"/>
        <v>0.8029173631221056</v>
      </c>
      <c r="E1700" s="8">
        <f t="shared" si="104"/>
        <v>242</v>
      </c>
    </row>
    <row r="1701" spans="1:5" ht="18.5" x14ac:dyDescent="0.45">
      <c r="A1701" s="3">
        <v>1695</v>
      </c>
      <c r="B1701" s="9">
        <f t="shared" si="105"/>
        <v>0.99991217672093902</v>
      </c>
      <c r="C1701" s="3">
        <f t="shared" si="106"/>
        <v>4441209.9241237231</v>
      </c>
      <c r="D1701" s="3">
        <f t="shared" si="107"/>
        <v>0.80089689791202545</v>
      </c>
      <c r="E1701" s="8">
        <f t="shared" si="104"/>
        <v>242.14285714285714</v>
      </c>
    </row>
    <row r="1702" spans="1:5" ht="18.5" x14ac:dyDescent="0.45">
      <c r="A1702" s="3">
        <v>1696</v>
      </c>
      <c r="B1702" s="9">
        <f t="shared" si="105"/>
        <v>0.99991235658461319</v>
      </c>
      <c r="C1702" s="3">
        <f t="shared" si="106"/>
        <v>4441210.7230062177</v>
      </c>
      <c r="D1702" s="3">
        <f t="shared" si="107"/>
        <v>0.79888249468058348</v>
      </c>
      <c r="E1702" s="8">
        <f t="shared" si="104"/>
        <v>242.28571428571428</v>
      </c>
    </row>
    <row r="1703" spans="1:5" ht="18.5" x14ac:dyDescent="0.45">
      <c r="A1703" s="3">
        <v>1697</v>
      </c>
      <c r="B1703" s="9">
        <f t="shared" si="105"/>
        <v>0.99991253599611596</v>
      </c>
      <c r="C1703" s="3">
        <f t="shared" si="106"/>
        <v>4441211.5198803488</v>
      </c>
      <c r="D1703" s="3">
        <f t="shared" si="107"/>
        <v>0.79687413107603788</v>
      </c>
      <c r="E1703" s="8">
        <f t="shared" si="104"/>
        <v>242.42857142857142</v>
      </c>
    </row>
    <row r="1704" spans="1:5" ht="18.5" x14ac:dyDescent="0.45">
      <c r="A1704" s="3">
        <v>1698</v>
      </c>
      <c r="B1704" s="9">
        <f t="shared" si="105"/>
        <v>0.99991271495680256</v>
      </c>
      <c r="C1704" s="3">
        <f t="shared" si="106"/>
        <v>4441212.3147521345</v>
      </c>
      <c r="D1704" s="3">
        <f t="shared" si="107"/>
        <v>0.79487178567796946</v>
      </c>
      <c r="E1704" s="8">
        <f t="shared" si="104"/>
        <v>242.57142857142858</v>
      </c>
    </row>
    <row r="1705" spans="1:5" ht="18.5" x14ac:dyDescent="0.45">
      <c r="A1705" s="3">
        <v>1699</v>
      </c>
      <c r="B1705" s="9">
        <f t="shared" si="105"/>
        <v>0.99991289346802315</v>
      </c>
      <c r="C1705" s="3">
        <f t="shared" si="106"/>
        <v>4441213.1076275716</v>
      </c>
      <c r="D1705" s="3">
        <f t="shared" si="107"/>
        <v>0.79287543706595898</v>
      </c>
      <c r="E1705" s="8">
        <f t="shared" si="104"/>
        <v>242.71428571428572</v>
      </c>
    </row>
    <row r="1706" spans="1:5" ht="18.5" x14ac:dyDescent="0.45">
      <c r="A1706" s="3">
        <v>1700</v>
      </c>
      <c r="B1706" s="9">
        <f t="shared" si="105"/>
        <v>0.99991307153112341</v>
      </c>
      <c r="C1706" s="3">
        <f t="shared" si="106"/>
        <v>4441213.8985126382</v>
      </c>
      <c r="D1706" s="3">
        <f t="shared" si="107"/>
        <v>0.79088506661355495</v>
      </c>
      <c r="E1706" s="8">
        <f t="shared" si="104"/>
        <v>242.85714285714286</v>
      </c>
    </row>
    <row r="1707" spans="1:5" ht="18.5" x14ac:dyDescent="0.45">
      <c r="A1707" s="3">
        <v>1701</v>
      </c>
      <c r="B1707" s="9">
        <f t="shared" si="105"/>
        <v>0.99991324914744406</v>
      </c>
      <c r="C1707" s="3">
        <f t="shared" si="106"/>
        <v>4441214.6874132873</v>
      </c>
      <c r="D1707" s="3">
        <f t="shared" si="107"/>
        <v>0.78890064917504787</v>
      </c>
      <c r="E1707" s="8">
        <f t="shared" si="104"/>
        <v>243</v>
      </c>
    </row>
    <row r="1708" spans="1:5" ht="18.5" x14ac:dyDescent="0.45">
      <c r="A1708" s="3">
        <v>1702</v>
      </c>
      <c r="B1708" s="9">
        <f t="shared" si="105"/>
        <v>0.99991342631832136</v>
      </c>
      <c r="C1708" s="3">
        <f t="shared" si="106"/>
        <v>4441215.4743354563</v>
      </c>
      <c r="D1708" s="3">
        <f t="shared" si="107"/>
        <v>0.78692216891795397</v>
      </c>
      <c r="E1708" s="8">
        <f t="shared" si="104"/>
        <v>243.14285714285714</v>
      </c>
    </row>
    <row r="1709" spans="1:5" ht="18.5" x14ac:dyDescent="0.45">
      <c r="A1709" s="3">
        <v>1703</v>
      </c>
      <c r="B1709" s="9">
        <f t="shared" si="105"/>
        <v>0.99991360304508692</v>
      </c>
      <c r="C1709" s="3">
        <f t="shared" si="106"/>
        <v>4441216.2592850579</v>
      </c>
      <c r="D1709" s="3">
        <f t="shared" si="107"/>
        <v>0.7849496016278863</v>
      </c>
      <c r="E1709" s="8">
        <f t="shared" si="104"/>
        <v>243.28571428571428</v>
      </c>
    </row>
    <row r="1710" spans="1:5" ht="18.5" x14ac:dyDescent="0.45">
      <c r="A1710" s="3">
        <v>1704</v>
      </c>
      <c r="B1710" s="9">
        <f t="shared" si="105"/>
        <v>0.99991377932906755</v>
      </c>
      <c r="C1710" s="3">
        <f t="shared" si="106"/>
        <v>4441217.0422679866</v>
      </c>
      <c r="D1710" s="3">
        <f t="shared" si="107"/>
        <v>0.78298292867839336</v>
      </c>
      <c r="E1710" s="8">
        <f t="shared" si="104"/>
        <v>243.42857142857142</v>
      </c>
    </row>
    <row r="1711" spans="1:5" ht="18.5" x14ac:dyDescent="0.45">
      <c r="A1711" s="3">
        <v>1705</v>
      </c>
      <c r="B1711" s="9">
        <f t="shared" si="105"/>
        <v>0.99991395517158554</v>
      </c>
      <c r="C1711" s="3">
        <f t="shared" si="106"/>
        <v>4441217.8232901143</v>
      </c>
      <c r="D1711" s="3">
        <f t="shared" si="107"/>
        <v>0.78102212771773338</v>
      </c>
      <c r="E1711" s="8">
        <f t="shared" si="104"/>
        <v>243.57142857142858</v>
      </c>
    </row>
    <row r="1712" spans="1:5" ht="18.5" x14ac:dyDescent="0.45">
      <c r="A1712" s="3">
        <v>1706</v>
      </c>
      <c r="B1712" s="9">
        <f t="shared" si="105"/>
        <v>0.99991413057395861</v>
      </c>
      <c r="C1712" s="3">
        <f t="shared" si="106"/>
        <v>4441218.6023572944</v>
      </c>
      <c r="D1712" s="3">
        <f t="shared" si="107"/>
        <v>0.77906718011945486</v>
      </c>
      <c r="E1712" s="8">
        <f t="shared" si="104"/>
        <v>243.71428571428572</v>
      </c>
    </row>
    <row r="1713" spans="1:5" ht="18.5" x14ac:dyDescent="0.45">
      <c r="A1713" s="3">
        <v>1707</v>
      </c>
      <c r="B1713" s="9">
        <f t="shared" si="105"/>
        <v>0.99991430553749971</v>
      </c>
      <c r="C1713" s="3">
        <f t="shared" si="106"/>
        <v>4441219.3794753589</v>
      </c>
      <c r="D1713" s="3">
        <f t="shared" si="107"/>
        <v>0.77711806446313858</v>
      </c>
      <c r="E1713" s="8">
        <f t="shared" si="104"/>
        <v>243.85714285714286</v>
      </c>
    </row>
    <row r="1714" spans="1:5" ht="18.5" x14ac:dyDescent="0.45">
      <c r="A1714" s="3">
        <v>1708</v>
      </c>
      <c r="B1714" s="9">
        <f t="shared" si="105"/>
        <v>0.99991448006351769</v>
      </c>
      <c r="C1714" s="3">
        <f t="shared" si="106"/>
        <v>4441220.1546501201</v>
      </c>
      <c r="D1714" s="3">
        <f t="shared" si="107"/>
        <v>0.77517476119101048</v>
      </c>
      <c r="E1714" s="8">
        <f t="shared" si="104"/>
        <v>244</v>
      </c>
    </row>
    <row r="1715" spans="1:5" ht="18.5" x14ac:dyDescent="0.45">
      <c r="A1715" s="3">
        <v>1709</v>
      </c>
      <c r="B1715" s="9">
        <f t="shared" si="105"/>
        <v>0.99991465415331615</v>
      </c>
      <c r="C1715" s="3">
        <f t="shared" si="106"/>
        <v>4441220.9278873689</v>
      </c>
      <c r="D1715" s="3">
        <f t="shared" si="107"/>
        <v>0.77323724888265133</v>
      </c>
      <c r="E1715" s="8">
        <f t="shared" si="104"/>
        <v>244.14285714285714</v>
      </c>
    </row>
    <row r="1716" spans="1:5" ht="18.5" x14ac:dyDescent="0.45">
      <c r="A1716" s="3">
        <v>1710</v>
      </c>
      <c r="B1716" s="9">
        <f t="shared" si="105"/>
        <v>0.99991482780819485</v>
      </c>
      <c r="C1716" s="3">
        <f t="shared" si="106"/>
        <v>4441221.6991928779</v>
      </c>
      <c r="D1716" s="3">
        <f t="shared" si="107"/>
        <v>0.77130550891160965</v>
      </c>
      <c r="E1716" s="8">
        <f t="shared" si="104"/>
        <v>244.28571428571428</v>
      </c>
    </row>
    <row r="1717" spans="1:5" ht="18.5" x14ac:dyDescent="0.45">
      <c r="A1717" s="3">
        <v>1711</v>
      </c>
      <c r="B1717" s="9">
        <f t="shared" si="105"/>
        <v>0.99991500102944864</v>
      </c>
      <c r="C1717" s="3">
        <f t="shared" si="106"/>
        <v>4441222.4685723986</v>
      </c>
      <c r="D1717" s="3">
        <f t="shared" si="107"/>
        <v>0.7693795207887888</v>
      </c>
      <c r="E1717" s="8">
        <f t="shared" si="104"/>
        <v>244.42857142857142</v>
      </c>
    </row>
    <row r="1718" spans="1:5" ht="18.5" x14ac:dyDescent="0.45">
      <c r="A1718" s="3">
        <v>1712</v>
      </c>
      <c r="B1718" s="9">
        <f t="shared" si="105"/>
        <v>0.99991517381836792</v>
      </c>
      <c r="C1718" s="3">
        <f t="shared" si="106"/>
        <v>4441223.2360316627</v>
      </c>
      <c r="D1718" s="3">
        <f t="shared" si="107"/>
        <v>0.76745926402509212</v>
      </c>
      <c r="E1718" s="8">
        <f t="shared" si="104"/>
        <v>244.57142857142858</v>
      </c>
    </row>
    <row r="1719" spans="1:5" ht="18.5" x14ac:dyDescent="0.45">
      <c r="A1719" s="3">
        <v>1713</v>
      </c>
      <c r="B1719" s="9">
        <f t="shared" si="105"/>
        <v>0.99991534617623867</v>
      </c>
      <c r="C1719" s="3">
        <f t="shared" si="106"/>
        <v>4441224.0015763817</v>
      </c>
      <c r="D1719" s="3">
        <f t="shared" si="107"/>
        <v>0.76554471906274557</v>
      </c>
      <c r="E1719" s="8">
        <f t="shared" si="104"/>
        <v>244.71428571428572</v>
      </c>
    </row>
    <row r="1720" spans="1:5" ht="18.5" x14ac:dyDescent="0.45">
      <c r="A1720" s="3">
        <v>1714</v>
      </c>
      <c r="B1720" s="9">
        <f t="shared" si="105"/>
        <v>0.99991551810434254</v>
      </c>
      <c r="C1720" s="3">
        <f t="shared" si="106"/>
        <v>4441224.7652122481</v>
      </c>
      <c r="D1720" s="3">
        <f t="shared" si="107"/>
        <v>0.76363586634397507</v>
      </c>
      <c r="E1720" s="8">
        <f t="shared" si="104"/>
        <v>244.85714285714286</v>
      </c>
    </row>
    <row r="1721" spans="1:5" ht="18.5" x14ac:dyDescent="0.45">
      <c r="A1721" s="3">
        <v>1715</v>
      </c>
      <c r="B1721" s="9">
        <f t="shared" si="105"/>
        <v>0.99991568960395638</v>
      </c>
      <c r="C1721" s="3">
        <f t="shared" si="106"/>
        <v>4441225.5269449325</v>
      </c>
      <c r="D1721" s="3">
        <f t="shared" si="107"/>
        <v>0.7617326844483614</v>
      </c>
      <c r="E1721" s="8">
        <f t="shared" si="104"/>
        <v>245</v>
      </c>
    </row>
    <row r="1722" spans="1:5" ht="18.5" x14ac:dyDescent="0.45">
      <c r="A1722" s="3">
        <v>1716</v>
      </c>
      <c r="B1722" s="9">
        <f t="shared" si="105"/>
        <v>0.99991586067635307</v>
      </c>
      <c r="C1722" s="3">
        <f t="shared" si="106"/>
        <v>4441226.2867800901</v>
      </c>
      <c r="D1722" s="3">
        <f t="shared" si="107"/>
        <v>0.75983515754342079</v>
      </c>
      <c r="E1722" s="8">
        <f t="shared" si="104"/>
        <v>245.14285714285714</v>
      </c>
    </row>
    <row r="1723" spans="1:5" ht="18.5" x14ac:dyDescent="0.45">
      <c r="A1723" s="3">
        <v>1717</v>
      </c>
      <c r="B1723" s="9">
        <f t="shared" si="105"/>
        <v>0.99991603132280082</v>
      </c>
      <c r="C1723" s="3">
        <f t="shared" si="106"/>
        <v>4441227.0447233524</v>
      </c>
      <c r="D1723" s="3">
        <f t="shared" si="107"/>
        <v>0.75794326234608889</v>
      </c>
      <c r="E1723" s="8">
        <f t="shared" si="104"/>
        <v>245.28571428571428</v>
      </c>
    </row>
    <row r="1724" spans="1:5" ht="18.5" x14ac:dyDescent="0.45">
      <c r="A1724" s="3">
        <v>1718</v>
      </c>
      <c r="B1724" s="9">
        <f t="shared" si="105"/>
        <v>0.99991620154456351</v>
      </c>
      <c r="C1724" s="3">
        <f t="shared" si="106"/>
        <v>4441227.8007803336</v>
      </c>
      <c r="D1724" s="3">
        <f t="shared" si="107"/>
        <v>0.75605698116123676</v>
      </c>
      <c r="E1724" s="8">
        <f t="shared" si="104"/>
        <v>245.42857142857142</v>
      </c>
    </row>
    <row r="1725" spans="1:5" ht="18.5" x14ac:dyDescent="0.45">
      <c r="A1725" s="3">
        <v>1719</v>
      </c>
      <c r="B1725" s="9">
        <f t="shared" si="105"/>
        <v>0.99991637134290057</v>
      </c>
      <c r="C1725" s="3">
        <f t="shared" si="106"/>
        <v>4441228.5549566271</v>
      </c>
      <c r="D1725" s="3">
        <f t="shared" si="107"/>
        <v>0.75417629349976778</v>
      </c>
      <c r="E1725" s="8">
        <f t="shared" si="104"/>
        <v>245.57142857142858</v>
      </c>
    </row>
    <row r="1726" spans="1:5" ht="18.5" x14ac:dyDescent="0.45">
      <c r="A1726" s="3">
        <v>1720</v>
      </c>
      <c r="B1726" s="9">
        <f t="shared" si="105"/>
        <v>0.9999165407190671</v>
      </c>
      <c r="C1726" s="3">
        <f t="shared" si="106"/>
        <v>4441229.3072578087</v>
      </c>
      <c r="D1726" s="3">
        <f t="shared" si="107"/>
        <v>0.75230118166655302</v>
      </c>
      <c r="E1726" s="8">
        <f t="shared" si="104"/>
        <v>245.71428571428572</v>
      </c>
    </row>
    <row r="1727" spans="1:5" ht="18.5" x14ac:dyDescent="0.45">
      <c r="A1727" s="3">
        <v>1721</v>
      </c>
      <c r="B1727" s="9">
        <f t="shared" si="105"/>
        <v>0.99991670967431412</v>
      </c>
      <c r="C1727" s="3">
        <f t="shared" si="106"/>
        <v>4441230.0576894339</v>
      </c>
      <c r="D1727" s="3">
        <f t="shared" si="107"/>
        <v>0.75043162517249584</v>
      </c>
      <c r="E1727" s="8">
        <f t="shared" si="104"/>
        <v>245.85714285714286</v>
      </c>
    </row>
    <row r="1728" spans="1:5" ht="18.5" x14ac:dyDescent="0.45">
      <c r="A1728" s="3">
        <v>1722</v>
      </c>
      <c r="B1728" s="9">
        <f t="shared" si="105"/>
        <v>0.99991687820988795</v>
      </c>
      <c r="C1728" s="3">
        <f t="shared" si="106"/>
        <v>4441230.8062570384</v>
      </c>
      <c r="D1728" s="3">
        <f t="shared" si="107"/>
        <v>0.74856760445982218</v>
      </c>
      <c r="E1728" s="8">
        <f t="shared" si="104"/>
        <v>246</v>
      </c>
    </row>
    <row r="1729" spans="1:5" ht="18.5" x14ac:dyDescent="0.45">
      <c r="A1729" s="3">
        <v>1723</v>
      </c>
      <c r="B1729" s="9">
        <f t="shared" si="105"/>
        <v>0.99991704632703082</v>
      </c>
      <c r="C1729" s="3">
        <f t="shared" si="106"/>
        <v>4441231.5529661402</v>
      </c>
      <c r="D1729" s="3">
        <f t="shared" si="107"/>
        <v>0.74670910183340311</v>
      </c>
      <c r="E1729" s="8">
        <f t="shared" si="104"/>
        <v>246.14285714285714</v>
      </c>
    </row>
    <row r="1730" spans="1:5" ht="18.5" x14ac:dyDescent="0.45">
      <c r="A1730" s="3">
        <v>1724</v>
      </c>
      <c r="B1730" s="9">
        <f t="shared" si="105"/>
        <v>0.99991721402698075</v>
      </c>
      <c r="C1730" s="3">
        <f t="shared" si="106"/>
        <v>4441232.2978222379</v>
      </c>
      <c r="D1730" s="3">
        <f t="shared" si="107"/>
        <v>0.74485609773546457</v>
      </c>
      <c r="E1730" s="8">
        <f t="shared" si="104"/>
        <v>246.28571428571428</v>
      </c>
    </row>
    <row r="1731" spans="1:5" ht="18.5" x14ac:dyDescent="0.45">
      <c r="A1731" s="3">
        <v>1725</v>
      </c>
      <c r="B1731" s="9">
        <f t="shared" si="105"/>
        <v>0.99991738131097119</v>
      </c>
      <c r="C1731" s="3">
        <f t="shared" si="106"/>
        <v>4441233.0408308096</v>
      </c>
      <c r="D1731" s="3">
        <f t="shared" si="107"/>
        <v>0.74300857167690992</v>
      </c>
      <c r="E1731" s="8">
        <f t="shared" si="104"/>
        <v>246.42857142857142</v>
      </c>
    </row>
    <row r="1732" spans="1:5" ht="18.5" x14ac:dyDescent="0.45">
      <c r="A1732" s="3">
        <v>1726</v>
      </c>
      <c r="B1732" s="9">
        <f t="shared" si="105"/>
        <v>0.99991754818023182</v>
      </c>
      <c r="C1732" s="3">
        <f t="shared" si="106"/>
        <v>4441233.7819973174</v>
      </c>
      <c r="D1732" s="3">
        <f t="shared" si="107"/>
        <v>0.74116650782525539</v>
      </c>
      <c r="E1732" s="8">
        <f t="shared" si="104"/>
        <v>246.57142857142858</v>
      </c>
    </row>
    <row r="1733" spans="1:5" ht="18.5" x14ac:dyDescent="0.45">
      <c r="A1733" s="3">
        <v>1727</v>
      </c>
      <c r="B1733" s="9">
        <f t="shared" si="105"/>
        <v>0.99991771463598744</v>
      </c>
      <c r="C1733" s="3">
        <f t="shared" si="106"/>
        <v>4441234.5213272022</v>
      </c>
      <c r="D1733" s="3">
        <f t="shared" si="107"/>
        <v>0.73932988476008177</v>
      </c>
      <c r="E1733" s="8">
        <f t="shared" si="104"/>
        <v>246.71428571428572</v>
      </c>
    </row>
    <row r="1734" spans="1:5" ht="18.5" x14ac:dyDescent="0.45">
      <c r="A1734" s="3">
        <v>1728</v>
      </c>
      <c r="B1734" s="9">
        <f t="shared" si="105"/>
        <v>0.9999178806794593</v>
      </c>
      <c r="C1734" s="3">
        <f t="shared" si="106"/>
        <v>4441235.2588258861</v>
      </c>
      <c r="D1734" s="3">
        <f t="shared" si="107"/>
        <v>0.73749868385493755</v>
      </c>
      <c r="E1734" s="8">
        <f t="shared" si="104"/>
        <v>246.85714285714286</v>
      </c>
    </row>
    <row r="1735" spans="1:5" ht="18.5" x14ac:dyDescent="0.45">
      <c r="A1735" s="3">
        <v>1729</v>
      </c>
      <c r="B1735" s="9">
        <f t="shared" si="105"/>
        <v>0.99991804631186409</v>
      </c>
      <c r="C1735" s="3">
        <f t="shared" si="106"/>
        <v>4441235.9944987753</v>
      </c>
      <c r="D1735" s="3">
        <f t="shared" si="107"/>
        <v>0.73567288927733898</v>
      </c>
      <c r="E1735" s="8">
        <f t="shared" ref="E1735:E1798" si="108">A1735/7</f>
        <v>247</v>
      </c>
    </row>
    <row r="1736" spans="1:5" ht="18.5" x14ac:dyDescent="0.45">
      <c r="A1736" s="3">
        <v>1730</v>
      </c>
      <c r="B1736" s="9">
        <f t="shared" ref="B1736:B1799" si="109">LOGNORMDIST(A1736,$A$3,$B$3)</f>
        <v>0.99991821153441429</v>
      </c>
      <c r="C1736" s="3">
        <f t="shared" ref="C1736:C1799" si="110">$E$3*B1736</f>
        <v>4441236.7283512549</v>
      </c>
      <c r="D1736" s="3">
        <f t="shared" ref="D1736:D1799" si="111">C1736-C1735</f>
        <v>0.73385247960686684</v>
      </c>
      <c r="E1736" s="8">
        <f t="shared" si="108"/>
        <v>247.14285714285714</v>
      </c>
    </row>
    <row r="1737" spans="1:5" ht="18.5" x14ac:dyDescent="0.45">
      <c r="A1737" s="3">
        <v>1731</v>
      </c>
      <c r="B1737" s="9">
        <f t="shared" si="109"/>
        <v>0.99991837634831837</v>
      </c>
      <c r="C1737" s="3">
        <f t="shared" si="110"/>
        <v>4441237.4603886912</v>
      </c>
      <c r="D1737" s="3">
        <f t="shared" si="111"/>
        <v>0.73203743621706963</v>
      </c>
      <c r="E1737" s="8">
        <f t="shared" si="108"/>
        <v>247.28571428571428</v>
      </c>
    </row>
    <row r="1738" spans="1:5" ht="18.5" x14ac:dyDescent="0.45">
      <c r="A1738" s="3">
        <v>1732</v>
      </c>
      <c r="B1738" s="9">
        <f t="shared" si="109"/>
        <v>0.99991854075478048</v>
      </c>
      <c r="C1738" s="3">
        <f t="shared" si="110"/>
        <v>4441238.1906164326</v>
      </c>
      <c r="D1738" s="3">
        <f t="shared" si="111"/>
        <v>0.73022774141281843</v>
      </c>
      <c r="E1738" s="8">
        <f t="shared" si="108"/>
        <v>247.42857142857142</v>
      </c>
    </row>
    <row r="1739" spans="1:5" ht="18.5" x14ac:dyDescent="0.45">
      <c r="A1739" s="3">
        <v>1733</v>
      </c>
      <c r="B1739" s="9">
        <f t="shared" si="109"/>
        <v>0.99991870475500078</v>
      </c>
      <c r="C1739" s="3">
        <f t="shared" si="110"/>
        <v>4441238.919039811</v>
      </c>
      <c r="D1739" s="3">
        <f t="shared" si="111"/>
        <v>0.72842337843030691</v>
      </c>
      <c r="E1739" s="8">
        <f t="shared" si="108"/>
        <v>247.57142857142858</v>
      </c>
    </row>
    <row r="1740" spans="1:5" ht="18.5" x14ac:dyDescent="0.45">
      <c r="A1740" s="3">
        <v>1734</v>
      </c>
      <c r="B1740" s="9">
        <f t="shared" si="109"/>
        <v>0.9999188683501754</v>
      </c>
      <c r="C1740" s="3">
        <f t="shared" si="110"/>
        <v>4441239.6456641387</v>
      </c>
      <c r="D1740" s="3">
        <f t="shared" si="111"/>
        <v>0.726624327711761</v>
      </c>
      <c r="E1740" s="8">
        <f t="shared" si="108"/>
        <v>247.71428571428572</v>
      </c>
    </row>
    <row r="1741" spans="1:5" ht="18.5" x14ac:dyDescent="0.45">
      <c r="A1741" s="3">
        <v>1735</v>
      </c>
      <c r="B1741" s="9">
        <f t="shared" si="109"/>
        <v>0.99991903154149597</v>
      </c>
      <c r="C1741" s="3">
        <f t="shared" si="110"/>
        <v>4441240.3704947084</v>
      </c>
      <c r="D1741" s="3">
        <f t="shared" si="111"/>
        <v>0.72483056969940662</v>
      </c>
      <c r="E1741" s="8">
        <f t="shared" si="108"/>
        <v>247.85714285714286</v>
      </c>
    </row>
    <row r="1742" spans="1:5" ht="18.5" x14ac:dyDescent="0.45">
      <c r="A1742" s="3">
        <v>1736</v>
      </c>
      <c r="B1742" s="9">
        <f t="shared" si="109"/>
        <v>0.99991919433015053</v>
      </c>
      <c r="C1742" s="3">
        <f t="shared" si="110"/>
        <v>4441241.093536797</v>
      </c>
      <c r="D1742" s="3">
        <f t="shared" si="111"/>
        <v>0.72304208856076002</v>
      </c>
      <c r="E1742" s="8">
        <f t="shared" si="108"/>
        <v>248</v>
      </c>
    </row>
    <row r="1743" spans="1:5" ht="18.5" x14ac:dyDescent="0.45">
      <c r="A1743" s="3">
        <v>1737</v>
      </c>
      <c r="B1743" s="9">
        <f t="shared" si="109"/>
        <v>0.99991935671732268</v>
      </c>
      <c r="C1743" s="3">
        <f t="shared" si="110"/>
        <v>4441241.8147956608</v>
      </c>
      <c r="D1743" s="3">
        <f t="shared" si="111"/>
        <v>0.72125886380672455</v>
      </c>
      <c r="E1743" s="8">
        <f t="shared" si="108"/>
        <v>248.14285714285714</v>
      </c>
    </row>
    <row r="1744" spans="1:5" ht="18.5" x14ac:dyDescent="0.45">
      <c r="A1744" s="3">
        <v>1738</v>
      </c>
      <c r="B1744" s="9">
        <f t="shared" si="109"/>
        <v>0.99991951870419227</v>
      </c>
      <c r="C1744" s="3">
        <f t="shared" si="110"/>
        <v>4441242.5342765404</v>
      </c>
      <c r="D1744" s="3">
        <f t="shared" si="111"/>
        <v>0.71948087960481644</v>
      </c>
      <c r="E1744" s="8">
        <f t="shared" si="108"/>
        <v>248.28571428571428</v>
      </c>
    </row>
    <row r="1745" spans="1:5" ht="18.5" x14ac:dyDescent="0.45">
      <c r="A1745" s="3">
        <v>1739</v>
      </c>
      <c r="B1745" s="9">
        <f t="shared" si="109"/>
        <v>0.99991968029193468</v>
      </c>
      <c r="C1745" s="3">
        <f t="shared" si="110"/>
        <v>4441243.2519846568</v>
      </c>
      <c r="D1745" s="3">
        <f t="shared" si="111"/>
        <v>0.71770811639726162</v>
      </c>
      <c r="E1745" s="8">
        <f t="shared" si="108"/>
        <v>248.42857142857142</v>
      </c>
    </row>
    <row r="1746" spans="1:5" ht="18.5" x14ac:dyDescent="0.45">
      <c r="A1746" s="3">
        <v>1740</v>
      </c>
      <c r="B1746" s="9">
        <f t="shared" si="109"/>
        <v>0.99991984148172186</v>
      </c>
      <c r="C1746" s="3">
        <f t="shared" si="110"/>
        <v>4441243.9679252161</v>
      </c>
      <c r="D1746" s="3">
        <f t="shared" si="111"/>
        <v>0.7159405592828989</v>
      </c>
      <c r="E1746" s="8">
        <f t="shared" si="108"/>
        <v>248.57142857142858</v>
      </c>
    </row>
    <row r="1747" spans="1:5" ht="18.5" x14ac:dyDescent="0.45">
      <c r="A1747" s="3">
        <v>1741</v>
      </c>
      <c r="B1747" s="9">
        <f t="shared" si="109"/>
        <v>0.99992000227472111</v>
      </c>
      <c r="C1747" s="3">
        <f t="shared" si="110"/>
        <v>4441244.682103401</v>
      </c>
      <c r="D1747" s="3">
        <f t="shared" si="111"/>
        <v>0.71417818497866392</v>
      </c>
      <c r="E1747" s="8">
        <f t="shared" si="108"/>
        <v>248.71428571428572</v>
      </c>
    </row>
    <row r="1748" spans="1:5" ht="18.5" x14ac:dyDescent="0.45">
      <c r="A1748" s="3">
        <v>1742</v>
      </c>
      <c r="B1748" s="9">
        <f t="shared" si="109"/>
        <v>0.99992016267209627</v>
      </c>
      <c r="C1748" s="3">
        <f t="shared" si="110"/>
        <v>4441245.3945243824</v>
      </c>
      <c r="D1748" s="3">
        <f t="shared" si="111"/>
        <v>0.7124209813773632</v>
      </c>
      <c r="E1748" s="8">
        <f t="shared" si="108"/>
        <v>248.85714285714286</v>
      </c>
    </row>
    <row r="1749" spans="1:5" ht="18.5" x14ac:dyDescent="0.45">
      <c r="A1749" s="3">
        <v>1743</v>
      </c>
      <c r="B1749" s="9">
        <f t="shared" si="109"/>
        <v>0.99992032267500697</v>
      </c>
      <c r="C1749" s="3">
        <f t="shared" si="110"/>
        <v>4441246.1051933113</v>
      </c>
      <c r="D1749" s="3">
        <f t="shared" si="111"/>
        <v>0.71066892892122269</v>
      </c>
      <c r="E1749" s="8">
        <f t="shared" si="108"/>
        <v>249</v>
      </c>
    </row>
    <row r="1750" spans="1:5" ht="18.5" x14ac:dyDescent="0.45">
      <c r="A1750" s="3">
        <v>1744</v>
      </c>
      <c r="B1750" s="9">
        <f t="shared" si="109"/>
        <v>0.99992048228460884</v>
      </c>
      <c r="C1750" s="3">
        <f t="shared" si="110"/>
        <v>4441246.8141153185</v>
      </c>
      <c r="D1750" s="3">
        <f t="shared" si="111"/>
        <v>0.70892200712114573</v>
      </c>
      <c r="E1750" s="8">
        <f t="shared" si="108"/>
        <v>249.14285714285714</v>
      </c>
    </row>
    <row r="1751" spans="1:5" ht="18.5" x14ac:dyDescent="0.45">
      <c r="A1751" s="3">
        <v>1745</v>
      </c>
      <c r="B1751" s="9">
        <f t="shared" si="109"/>
        <v>0.99992064150205362</v>
      </c>
      <c r="C1751" s="3">
        <f t="shared" si="110"/>
        <v>4441247.5212955214</v>
      </c>
      <c r="D1751" s="3">
        <f t="shared" si="111"/>
        <v>0.70718020293861628</v>
      </c>
      <c r="E1751" s="8">
        <f t="shared" si="108"/>
        <v>249.28571428571428</v>
      </c>
    </row>
    <row r="1752" spans="1:5" ht="18.5" x14ac:dyDescent="0.45">
      <c r="A1752" s="3">
        <v>1746</v>
      </c>
      <c r="B1752" s="9">
        <f t="shared" si="109"/>
        <v>0.99992080032848918</v>
      </c>
      <c r="C1752" s="3">
        <f t="shared" si="110"/>
        <v>4441248.2267390173</v>
      </c>
      <c r="D1752" s="3">
        <f t="shared" si="111"/>
        <v>0.7054434958845377</v>
      </c>
      <c r="E1752" s="8">
        <f t="shared" si="108"/>
        <v>249.42857142857142</v>
      </c>
    </row>
    <row r="1753" spans="1:5" ht="18.5" x14ac:dyDescent="0.45">
      <c r="A1753" s="3">
        <v>1747</v>
      </c>
      <c r="B1753" s="9">
        <f t="shared" si="109"/>
        <v>0.99992095876505938</v>
      </c>
      <c r="C1753" s="3">
        <f t="shared" si="110"/>
        <v>4441248.9304508874</v>
      </c>
      <c r="D1753" s="3">
        <f t="shared" si="111"/>
        <v>0.70371187012642622</v>
      </c>
      <c r="E1753" s="8">
        <f t="shared" si="108"/>
        <v>249.57142857142858</v>
      </c>
    </row>
    <row r="1754" spans="1:5" ht="18.5" x14ac:dyDescent="0.45">
      <c r="A1754" s="3">
        <v>1748</v>
      </c>
      <c r="B1754" s="9">
        <f t="shared" si="109"/>
        <v>0.9999211168129043</v>
      </c>
      <c r="C1754" s="3">
        <f t="shared" si="110"/>
        <v>4441249.6324361954</v>
      </c>
      <c r="D1754" s="3">
        <f t="shared" si="111"/>
        <v>0.70198530796915293</v>
      </c>
      <c r="E1754" s="8">
        <f t="shared" si="108"/>
        <v>249.71428571428572</v>
      </c>
    </row>
    <row r="1755" spans="1:5" ht="18.5" x14ac:dyDescent="0.45">
      <c r="A1755" s="3">
        <v>1749</v>
      </c>
      <c r="B1755" s="9">
        <f t="shared" si="109"/>
        <v>0.99992127447316004</v>
      </c>
      <c r="C1755" s="3">
        <f t="shared" si="110"/>
        <v>4441250.332699988</v>
      </c>
      <c r="D1755" s="3">
        <f t="shared" si="111"/>
        <v>0.70026379264891148</v>
      </c>
      <c r="E1755" s="8">
        <f t="shared" si="108"/>
        <v>249.85714285714286</v>
      </c>
    </row>
    <row r="1756" spans="1:5" ht="18.5" x14ac:dyDescent="0.45">
      <c r="A1756" s="3">
        <v>1750</v>
      </c>
      <c r="B1756" s="9">
        <f t="shared" si="109"/>
        <v>0.99992143174695891</v>
      </c>
      <c r="C1756" s="3">
        <f t="shared" si="110"/>
        <v>4441251.0312472926</v>
      </c>
      <c r="D1756" s="3">
        <f t="shared" si="111"/>
        <v>0.6985473046079278</v>
      </c>
      <c r="E1756" s="8">
        <f t="shared" si="108"/>
        <v>250</v>
      </c>
    </row>
    <row r="1757" spans="1:5" ht="18.5" x14ac:dyDescent="0.45">
      <c r="A1757" s="3">
        <v>1751</v>
      </c>
      <c r="B1757" s="9">
        <f t="shared" si="109"/>
        <v>0.99992158863542924</v>
      </c>
      <c r="C1757" s="3">
        <f t="shared" si="110"/>
        <v>4441251.7280831225</v>
      </c>
      <c r="D1757" s="3">
        <f t="shared" si="111"/>
        <v>0.69683582987636328</v>
      </c>
      <c r="E1757" s="8">
        <f t="shared" si="108"/>
        <v>250.14285714285714</v>
      </c>
    </row>
    <row r="1758" spans="1:5" ht="18.5" x14ac:dyDescent="0.45">
      <c r="A1758" s="3">
        <v>1752</v>
      </c>
      <c r="B1758" s="9">
        <f t="shared" si="109"/>
        <v>0.99992174513969556</v>
      </c>
      <c r="C1758" s="3">
        <f t="shared" si="110"/>
        <v>4441252.4232124714</v>
      </c>
      <c r="D1758" s="3">
        <f t="shared" si="111"/>
        <v>0.69512934889644384</v>
      </c>
      <c r="E1758" s="8">
        <f t="shared" si="108"/>
        <v>250.28571428571428</v>
      </c>
    </row>
    <row r="1759" spans="1:5" ht="18.5" x14ac:dyDescent="0.45">
      <c r="A1759" s="3">
        <v>1753</v>
      </c>
      <c r="B1759" s="9">
        <f t="shared" si="109"/>
        <v>0.99992190126087876</v>
      </c>
      <c r="C1759" s="3">
        <f t="shared" si="110"/>
        <v>4441253.1166403191</v>
      </c>
      <c r="D1759" s="3">
        <f t="shared" si="111"/>
        <v>0.69342784769833088</v>
      </c>
      <c r="E1759" s="8">
        <f t="shared" si="108"/>
        <v>250.42857142857142</v>
      </c>
    </row>
    <row r="1760" spans="1:5" ht="18.5" x14ac:dyDescent="0.45">
      <c r="A1760" s="3">
        <v>1754</v>
      </c>
      <c r="B1760" s="9">
        <f t="shared" si="109"/>
        <v>0.99992205700009562</v>
      </c>
      <c r="C1760" s="3">
        <f t="shared" si="110"/>
        <v>4441253.8083716249</v>
      </c>
      <c r="D1760" s="3">
        <f t="shared" si="111"/>
        <v>0.69173130579292774</v>
      </c>
      <c r="E1760" s="8">
        <f t="shared" si="108"/>
        <v>250.57142857142858</v>
      </c>
    </row>
    <row r="1761" spans="1:5" ht="18.5" x14ac:dyDescent="0.45">
      <c r="A1761" s="3">
        <v>1755</v>
      </c>
      <c r="B1761" s="9">
        <f t="shared" si="109"/>
        <v>0.99992221235845946</v>
      </c>
      <c r="C1761" s="3">
        <f t="shared" si="110"/>
        <v>4441254.4984113332</v>
      </c>
      <c r="D1761" s="3">
        <f t="shared" si="111"/>
        <v>0.69003970827907324</v>
      </c>
      <c r="E1761" s="8">
        <f t="shared" si="108"/>
        <v>250.71428571428572</v>
      </c>
    </row>
    <row r="1762" spans="1:5" ht="18.5" x14ac:dyDescent="0.45">
      <c r="A1762" s="3">
        <v>1756</v>
      </c>
      <c r="B1762" s="9">
        <f t="shared" si="109"/>
        <v>0.99992236733707951</v>
      </c>
      <c r="C1762" s="3">
        <f t="shared" si="110"/>
        <v>4441255.1867643725</v>
      </c>
      <c r="D1762" s="3">
        <f t="shared" si="111"/>
        <v>0.6883530393242836</v>
      </c>
      <c r="E1762" s="8">
        <f t="shared" si="108"/>
        <v>250.85714285714286</v>
      </c>
    </row>
    <row r="1763" spans="1:5" ht="18.5" x14ac:dyDescent="0.45">
      <c r="A1763" s="3">
        <v>1757</v>
      </c>
      <c r="B1763" s="9">
        <f t="shared" si="109"/>
        <v>0.99992252193706144</v>
      </c>
      <c r="C1763" s="3">
        <f t="shared" si="110"/>
        <v>4441255.8734356519</v>
      </c>
      <c r="D1763" s="3">
        <f t="shared" si="111"/>
        <v>0.68667127937078476</v>
      </c>
      <c r="E1763" s="8">
        <f t="shared" si="108"/>
        <v>251</v>
      </c>
    </row>
    <row r="1764" spans="1:5" ht="18.5" x14ac:dyDescent="0.45">
      <c r="A1764" s="3">
        <v>1758</v>
      </c>
      <c r="B1764" s="9">
        <f t="shared" si="109"/>
        <v>0.99992267615950714</v>
      </c>
      <c r="C1764" s="3">
        <f t="shared" si="110"/>
        <v>4441256.5584300673</v>
      </c>
      <c r="D1764" s="3">
        <f t="shared" si="111"/>
        <v>0.68499441538006067</v>
      </c>
      <c r="E1764" s="8">
        <f t="shared" si="108"/>
        <v>251.14285714285714</v>
      </c>
    </row>
    <row r="1765" spans="1:5" ht="18.5" x14ac:dyDescent="0.45">
      <c r="A1765" s="3">
        <v>1759</v>
      </c>
      <c r="B1765" s="9">
        <f t="shared" si="109"/>
        <v>0.99992283000551463</v>
      </c>
      <c r="C1765" s="3">
        <f t="shared" si="110"/>
        <v>4441257.2417524941</v>
      </c>
      <c r="D1765" s="3">
        <f t="shared" si="111"/>
        <v>0.6833224268630147</v>
      </c>
      <c r="E1765" s="8">
        <f t="shared" si="108"/>
        <v>251.28571428571428</v>
      </c>
    </row>
    <row r="1766" spans="1:5" ht="18.5" x14ac:dyDescent="0.45">
      <c r="A1766" s="3">
        <v>1760</v>
      </c>
      <c r="B1766" s="9">
        <f t="shared" si="109"/>
        <v>0.99992298347617836</v>
      </c>
      <c r="C1766" s="3">
        <f t="shared" si="110"/>
        <v>4441257.923407794</v>
      </c>
      <c r="D1766" s="3">
        <f t="shared" si="111"/>
        <v>0.68165529984980822</v>
      </c>
      <c r="E1766" s="8">
        <f t="shared" si="108"/>
        <v>251.42857142857142</v>
      </c>
    </row>
    <row r="1767" spans="1:5" ht="18.5" x14ac:dyDescent="0.45">
      <c r="A1767" s="3">
        <v>1761</v>
      </c>
      <c r="B1767" s="9">
        <f t="shared" si="109"/>
        <v>0.99992313657258902</v>
      </c>
      <c r="C1767" s="3">
        <f t="shared" si="110"/>
        <v>4441258.6034008116</v>
      </c>
      <c r="D1767" s="3">
        <f t="shared" si="111"/>
        <v>0.67999301757663488</v>
      </c>
      <c r="E1767" s="8">
        <f t="shared" si="108"/>
        <v>251.57142857142858</v>
      </c>
    </row>
    <row r="1768" spans="1:5" ht="18.5" x14ac:dyDescent="0.45">
      <c r="A1768" s="3">
        <v>1762</v>
      </c>
      <c r="B1768" s="9">
        <f t="shared" si="109"/>
        <v>0.99992328929583363</v>
      </c>
      <c r="C1768" s="3">
        <f t="shared" si="110"/>
        <v>4441259.2817363748</v>
      </c>
      <c r="D1768" s="3">
        <f t="shared" si="111"/>
        <v>0.67833556327968836</v>
      </c>
      <c r="E1768" s="8">
        <f t="shared" si="108"/>
        <v>251.71428571428572</v>
      </c>
    </row>
    <row r="1769" spans="1:5" ht="18.5" x14ac:dyDescent="0.45">
      <c r="A1769" s="3">
        <v>1763</v>
      </c>
      <c r="B1769" s="9">
        <f t="shared" si="109"/>
        <v>0.99992344164699565</v>
      </c>
      <c r="C1769" s="3">
        <f t="shared" si="110"/>
        <v>4441259.958419296</v>
      </c>
      <c r="D1769" s="3">
        <f t="shared" si="111"/>
        <v>0.67668292112648487</v>
      </c>
      <c r="E1769" s="8">
        <f t="shared" si="108"/>
        <v>251.85714285714286</v>
      </c>
    </row>
    <row r="1770" spans="1:5" ht="18.5" x14ac:dyDescent="0.45">
      <c r="A1770" s="3">
        <v>1764</v>
      </c>
      <c r="B1770" s="9">
        <f t="shared" si="109"/>
        <v>0.99992359362715444</v>
      </c>
      <c r="C1770" s="3">
        <f t="shared" si="110"/>
        <v>4441260.6334543694</v>
      </c>
      <c r="D1770" s="3">
        <f t="shared" si="111"/>
        <v>0.6750350734218955</v>
      </c>
      <c r="E1770" s="8">
        <f t="shared" si="108"/>
        <v>252</v>
      </c>
    </row>
    <row r="1771" spans="1:5" ht="18.5" x14ac:dyDescent="0.45">
      <c r="A1771" s="3">
        <v>1765</v>
      </c>
      <c r="B1771" s="9">
        <f t="shared" si="109"/>
        <v>0.99992374523738636</v>
      </c>
      <c r="C1771" s="3">
        <f t="shared" si="110"/>
        <v>4441261.3068463756</v>
      </c>
      <c r="D1771" s="3">
        <f t="shared" si="111"/>
        <v>0.67339200619608164</v>
      </c>
      <c r="E1771" s="8">
        <f t="shared" si="108"/>
        <v>252.14285714285714</v>
      </c>
    </row>
    <row r="1772" spans="1:5" ht="18.5" x14ac:dyDescent="0.45">
      <c r="A1772" s="3">
        <v>1766</v>
      </c>
      <c r="B1772" s="9">
        <f t="shared" si="109"/>
        <v>0.99992389647876356</v>
      </c>
      <c r="C1772" s="3">
        <f t="shared" si="110"/>
        <v>4441261.9786000764</v>
      </c>
      <c r="D1772" s="3">
        <f t="shared" si="111"/>
        <v>0.67175370082259178</v>
      </c>
      <c r="E1772" s="8">
        <f t="shared" si="108"/>
        <v>252.28571428571428</v>
      </c>
    </row>
    <row r="1773" spans="1:5" ht="18.5" x14ac:dyDescent="0.45">
      <c r="A1773" s="3">
        <v>1767</v>
      </c>
      <c r="B1773" s="9">
        <f t="shared" si="109"/>
        <v>0.99992404735235485</v>
      </c>
      <c r="C1773" s="3">
        <f t="shared" si="110"/>
        <v>4441262.6487202197</v>
      </c>
      <c r="D1773" s="3">
        <f t="shared" si="111"/>
        <v>0.67012014333158731</v>
      </c>
      <c r="E1773" s="8">
        <f t="shared" si="108"/>
        <v>252.42857142857142</v>
      </c>
    </row>
    <row r="1774" spans="1:5" ht="18.5" x14ac:dyDescent="0.45">
      <c r="A1774" s="3">
        <v>1768</v>
      </c>
      <c r="B1774" s="9">
        <f t="shared" si="109"/>
        <v>0.99992419785922548</v>
      </c>
      <c r="C1774" s="3">
        <f t="shared" si="110"/>
        <v>4441263.3172115358</v>
      </c>
      <c r="D1774" s="3">
        <f t="shared" si="111"/>
        <v>0.66849131602793932</v>
      </c>
      <c r="E1774" s="8">
        <f t="shared" si="108"/>
        <v>252.57142857142858</v>
      </c>
    </row>
    <row r="1775" spans="1:5" ht="18.5" x14ac:dyDescent="0.45">
      <c r="A1775" s="3">
        <v>1769</v>
      </c>
      <c r="B1775" s="9">
        <f t="shared" si="109"/>
        <v>0.99992434800043684</v>
      </c>
      <c r="C1775" s="3">
        <f t="shared" si="110"/>
        <v>4441263.9840787407</v>
      </c>
      <c r="D1775" s="3">
        <f t="shared" si="111"/>
        <v>0.66686720494180918</v>
      </c>
      <c r="E1775" s="8">
        <f t="shared" si="108"/>
        <v>252.71428571428572</v>
      </c>
    </row>
    <row r="1776" spans="1:5" ht="18.5" x14ac:dyDescent="0.45">
      <c r="A1776" s="3">
        <v>1770</v>
      </c>
      <c r="B1776" s="9">
        <f t="shared" si="109"/>
        <v>0.99992449777704717</v>
      </c>
      <c r="C1776" s="3">
        <f t="shared" si="110"/>
        <v>4441264.6493265331</v>
      </c>
      <c r="D1776" s="3">
        <f t="shared" si="111"/>
        <v>0.66524779237806797</v>
      </c>
      <c r="E1776" s="8">
        <f t="shared" si="108"/>
        <v>252.85714285714286</v>
      </c>
    </row>
    <row r="1777" spans="1:5" ht="18.5" x14ac:dyDescent="0.45">
      <c r="A1777" s="3">
        <v>1771</v>
      </c>
      <c r="B1777" s="9">
        <f t="shared" si="109"/>
        <v>0.99992464719011065</v>
      </c>
      <c r="C1777" s="3">
        <f t="shared" si="110"/>
        <v>4441265.3129595956</v>
      </c>
      <c r="D1777" s="3">
        <f t="shared" si="111"/>
        <v>0.66363306250423193</v>
      </c>
      <c r="E1777" s="8">
        <f t="shared" si="108"/>
        <v>253</v>
      </c>
    </row>
    <row r="1778" spans="1:5" ht="18.5" x14ac:dyDescent="0.45">
      <c r="A1778" s="3">
        <v>1772</v>
      </c>
      <c r="B1778" s="9">
        <f t="shared" si="109"/>
        <v>0.9999247962406782</v>
      </c>
      <c r="C1778" s="3">
        <f t="shared" si="110"/>
        <v>4441265.974982596</v>
      </c>
      <c r="D1778" s="3">
        <f t="shared" si="111"/>
        <v>0.66202300041913986</v>
      </c>
      <c r="E1778" s="8">
        <f t="shared" si="108"/>
        <v>253.14285714285714</v>
      </c>
    </row>
    <row r="1779" spans="1:5" ht="18.5" x14ac:dyDescent="0.45">
      <c r="A1779" s="3">
        <v>1773</v>
      </c>
      <c r="B1779" s="9">
        <f t="shared" si="109"/>
        <v>0.99992494492979733</v>
      </c>
      <c r="C1779" s="3">
        <f t="shared" si="110"/>
        <v>4441266.6354001882</v>
      </c>
      <c r="D1779" s="3">
        <f t="shared" si="111"/>
        <v>0.66041759215295315</v>
      </c>
      <c r="E1779" s="8">
        <f t="shared" si="108"/>
        <v>253.28571428571428</v>
      </c>
    </row>
    <row r="1780" spans="1:5" ht="18.5" x14ac:dyDescent="0.45">
      <c r="A1780" s="3">
        <v>1774</v>
      </c>
      <c r="B1780" s="9">
        <f t="shared" si="109"/>
        <v>0.99992509325851164</v>
      </c>
      <c r="C1780" s="3">
        <f t="shared" si="110"/>
        <v>4441267.2942170054</v>
      </c>
      <c r="D1780" s="3">
        <f t="shared" si="111"/>
        <v>0.65881681721657515</v>
      </c>
      <c r="E1780" s="8">
        <f t="shared" si="108"/>
        <v>253.42857142857142</v>
      </c>
    </row>
    <row r="1781" spans="1:5" ht="18.5" x14ac:dyDescent="0.45">
      <c r="A1781" s="3">
        <v>1775</v>
      </c>
      <c r="B1781" s="9">
        <f t="shared" si="109"/>
        <v>0.99992524122786153</v>
      </c>
      <c r="C1781" s="3">
        <f t="shared" si="110"/>
        <v>4441267.9514376698</v>
      </c>
      <c r="D1781" s="3">
        <f t="shared" si="111"/>
        <v>0.65722066443413496</v>
      </c>
      <c r="E1781" s="8">
        <f t="shared" si="108"/>
        <v>253.57142857142858</v>
      </c>
    </row>
    <row r="1782" spans="1:5" ht="18.5" x14ac:dyDescent="0.45">
      <c r="A1782" s="3">
        <v>1776</v>
      </c>
      <c r="B1782" s="9">
        <f t="shared" si="109"/>
        <v>0.99992538883888382</v>
      </c>
      <c r="C1782" s="3">
        <f t="shared" si="110"/>
        <v>4441268.6070667868</v>
      </c>
      <c r="D1782" s="3">
        <f t="shared" si="111"/>
        <v>0.65562911704182625</v>
      </c>
      <c r="E1782" s="8">
        <f t="shared" si="108"/>
        <v>253.71428571428572</v>
      </c>
    </row>
    <row r="1783" spans="1:5" ht="18.5" x14ac:dyDescent="0.45">
      <c r="A1783" s="3">
        <v>1777</v>
      </c>
      <c r="B1783" s="9">
        <f t="shared" si="109"/>
        <v>0.99992553609261181</v>
      </c>
      <c r="C1783" s="3">
        <f t="shared" si="110"/>
        <v>4441269.2611089442</v>
      </c>
      <c r="D1783" s="3">
        <f t="shared" si="111"/>
        <v>0.65404215734452009</v>
      </c>
      <c r="E1783" s="8">
        <f t="shared" si="108"/>
        <v>253.85714285714286</v>
      </c>
    </row>
    <row r="1784" spans="1:5" ht="18.5" x14ac:dyDescent="0.45">
      <c r="A1784" s="3">
        <v>1778</v>
      </c>
      <c r="B1784" s="9">
        <f t="shared" si="109"/>
        <v>0.99992568299007534</v>
      </c>
      <c r="C1784" s="3">
        <f t="shared" si="110"/>
        <v>4441269.9135687184</v>
      </c>
      <c r="D1784" s="3">
        <f t="shared" si="111"/>
        <v>0.6524597741663456</v>
      </c>
      <c r="E1784" s="8">
        <f t="shared" si="108"/>
        <v>254</v>
      </c>
    </row>
    <row r="1785" spans="1:5" ht="18.5" x14ac:dyDescent="0.45">
      <c r="A1785" s="3">
        <v>1779</v>
      </c>
      <c r="B1785" s="9">
        <f t="shared" si="109"/>
        <v>0.99992582953230069</v>
      </c>
      <c r="C1785" s="3">
        <f t="shared" si="110"/>
        <v>4441270.5644506663</v>
      </c>
      <c r="D1785" s="3">
        <f t="shared" si="111"/>
        <v>0.65088194794952869</v>
      </c>
      <c r="E1785" s="8">
        <f t="shared" si="108"/>
        <v>254.14285714285714</v>
      </c>
    </row>
    <row r="1786" spans="1:5" ht="18.5" x14ac:dyDescent="0.45">
      <c r="A1786" s="3">
        <v>1780</v>
      </c>
      <c r="B1786" s="9">
        <f t="shared" si="109"/>
        <v>0.99992597572031106</v>
      </c>
      <c r="C1786" s="3">
        <f t="shared" si="110"/>
        <v>4441271.2137593338</v>
      </c>
      <c r="D1786" s="3">
        <f t="shared" si="111"/>
        <v>0.64930866751819849</v>
      </c>
      <c r="E1786" s="8">
        <f t="shared" si="108"/>
        <v>254.28571428571428</v>
      </c>
    </row>
    <row r="1787" spans="1:5" ht="18.5" x14ac:dyDescent="0.45">
      <c r="A1787" s="3">
        <v>1781</v>
      </c>
      <c r="B1787" s="9">
        <f t="shared" si="109"/>
        <v>0.99992612155512584</v>
      </c>
      <c r="C1787" s="3">
        <f t="shared" si="110"/>
        <v>4441271.8614992471</v>
      </c>
      <c r="D1787" s="3">
        <f t="shared" si="111"/>
        <v>0.64773991331458092</v>
      </c>
      <c r="E1787" s="8">
        <f t="shared" si="108"/>
        <v>254.42857142857142</v>
      </c>
    </row>
    <row r="1788" spans="1:5" ht="18.5" x14ac:dyDescent="0.45">
      <c r="A1788" s="3">
        <v>1782</v>
      </c>
      <c r="B1788" s="9">
        <f t="shared" si="109"/>
        <v>0.999926267037761</v>
      </c>
      <c r="C1788" s="3">
        <f t="shared" si="110"/>
        <v>4441272.5076749194</v>
      </c>
      <c r="D1788" s="3">
        <f t="shared" si="111"/>
        <v>0.64617567230015993</v>
      </c>
      <c r="E1788" s="8">
        <f t="shared" si="108"/>
        <v>254.57142857142858</v>
      </c>
    </row>
    <row r="1789" spans="1:5" ht="18.5" x14ac:dyDescent="0.45">
      <c r="A1789" s="3">
        <v>1783</v>
      </c>
      <c r="B1789" s="9">
        <f t="shared" si="109"/>
        <v>0.99992641216922951</v>
      </c>
      <c r="C1789" s="3">
        <f t="shared" si="110"/>
        <v>4441273.1522908499</v>
      </c>
      <c r="D1789" s="3">
        <f t="shared" si="111"/>
        <v>0.64461593050509691</v>
      </c>
      <c r="E1789" s="8">
        <f t="shared" si="108"/>
        <v>254.71428571428572</v>
      </c>
    </row>
    <row r="1790" spans="1:5" ht="18.5" x14ac:dyDescent="0.45">
      <c r="A1790" s="3">
        <v>1784</v>
      </c>
      <c r="B1790" s="9">
        <f t="shared" si="109"/>
        <v>0.99992655695054045</v>
      </c>
      <c r="C1790" s="3">
        <f t="shared" si="110"/>
        <v>4441273.7953515202</v>
      </c>
      <c r="D1790" s="3">
        <f t="shared" si="111"/>
        <v>0.64306067023426294</v>
      </c>
      <c r="E1790" s="8">
        <f t="shared" si="108"/>
        <v>254.85714285714286</v>
      </c>
    </row>
    <row r="1791" spans="1:5" ht="18.5" x14ac:dyDescent="0.45">
      <c r="A1791" s="3">
        <v>1785</v>
      </c>
      <c r="B1791" s="9">
        <f t="shared" si="109"/>
        <v>0.9999267013826999</v>
      </c>
      <c r="C1791" s="3">
        <f t="shared" si="110"/>
        <v>4441274.4368613996</v>
      </c>
      <c r="D1791" s="3">
        <f t="shared" si="111"/>
        <v>0.64150987938046455</v>
      </c>
      <c r="E1791" s="8">
        <f t="shared" si="108"/>
        <v>255</v>
      </c>
    </row>
    <row r="1792" spans="1:5" ht="18.5" x14ac:dyDescent="0.45">
      <c r="A1792" s="3">
        <v>1786</v>
      </c>
      <c r="B1792" s="9">
        <f t="shared" si="109"/>
        <v>0.99992684546671029</v>
      </c>
      <c r="C1792" s="3">
        <f t="shared" si="110"/>
        <v>4441275.0768249407</v>
      </c>
      <c r="D1792" s="3">
        <f t="shared" si="111"/>
        <v>0.6399635411798954</v>
      </c>
      <c r="E1792" s="8">
        <f t="shared" si="108"/>
        <v>255.14285714285714</v>
      </c>
    </row>
    <row r="1793" spans="1:5" ht="18.5" x14ac:dyDescent="0.45">
      <c r="A1793" s="3">
        <v>1787</v>
      </c>
      <c r="B1793" s="9">
        <f t="shared" si="109"/>
        <v>0.99992698920357104</v>
      </c>
      <c r="C1793" s="3">
        <f t="shared" si="110"/>
        <v>4441275.7152465815</v>
      </c>
      <c r="D1793" s="3">
        <f t="shared" si="111"/>
        <v>0.63842164073139429</v>
      </c>
      <c r="E1793" s="8">
        <f t="shared" si="108"/>
        <v>255.28571428571428</v>
      </c>
    </row>
    <row r="1794" spans="1:5" ht="18.5" x14ac:dyDescent="0.45">
      <c r="A1794" s="3">
        <v>1788</v>
      </c>
      <c r="B1794" s="9">
        <f t="shared" si="109"/>
        <v>0.99992713259427779</v>
      </c>
      <c r="C1794" s="3">
        <f t="shared" si="110"/>
        <v>4441276.3521307446</v>
      </c>
      <c r="D1794" s="3">
        <f t="shared" si="111"/>
        <v>0.63688416313380003</v>
      </c>
      <c r="E1794" s="8">
        <f t="shared" si="108"/>
        <v>255.42857142857142</v>
      </c>
    </row>
    <row r="1795" spans="1:5" ht="18.5" x14ac:dyDescent="0.45">
      <c r="A1795" s="3">
        <v>1789</v>
      </c>
      <c r="B1795" s="9">
        <f t="shared" si="109"/>
        <v>0.99992727563982331</v>
      </c>
      <c r="C1795" s="3">
        <f t="shared" si="110"/>
        <v>4441276.987481839</v>
      </c>
      <c r="D1795" s="3">
        <f t="shared" si="111"/>
        <v>0.635351094417274</v>
      </c>
      <c r="E1795" s="8">
        <f t="shared" si="108"/>
        <v>255.57142857142858</v>
      </c>
    </row>
    <row r="1796" spans="1:5" ht="18.5" x14ac:dyDescent="0.45">
      <c r="A1796" s="3">
        <v>1790</v>
      </c>
      <c r="B1796" s="9">
        <f t="shared" si="109"/>
        <v>0.99992741834119669</v>
      </c>
      <c r="C1796" s="3">
        <f t="shared" si="110"/>
        <v>4441277.6213042596</v>
      </c>
      <c r="D1796" s="3">
        <f t="shared" si="111"/>
        <v>0.63382242061197758</v>
      </c>
      <c r="E1796" s="8">
        <f t="shared" si="108"/>
        <v>255.71428571428572</v>
      </c>
    </row>
    <row r="1797" spans="1:5" ht="18.5" x14ac:dyDescent="0.45">
      <c r="A1797" s="3">
        <v>1791</v>
      </c>
      <c r="B1797" s="9">
        <f t="shared" si="109"/>
        <v>0.99992756069938382</v>
      </c>
      <c r="C1797" s="3">
        <f t="shared" si="110"/>
        <v>4441278.2536023827</v>
      </c>
      <c r="D1797" s="3">
        <f t="shared" si="111"/>
        <v>0.63229812309145927</v>
      </c>
      <c r="E1797" s="8">
        <f t="shared" si="108"/>
        <v>255.85714285714286</v>
      </c>
    </row>
    <row r="1798" spans="1:5" ht="18.5" x14ac:dyDescent="0.45">
      <c r="A1798" s="3">
        <v>1792</v>
      </c>
      <c r="B1798" s="9">
        <f t="shared" si="109"/>
        <v>0.99992770271536757</v>
      </c>
      <c r="C1798" s="3">
        <f t="shared" si="110"/>
        <v>4441278.8843805762</v>
      </c>
      <c r="D1798" s="3">
        <f t="shared" si="111"/>
        <v>0.63077819347381592</v>
      </c>
      <c r="E1798" s="8">
        <f t="shared" si="108"/>
        <v>256</v>
      </c>
    </row>
    <row r="1799" spans="1:5" ht="18.5" x14ac:dyDescent="0.45">
      <c r="A1799" s="3">
        <v>1793</v>
      </c>
      <c r="B1799" s="9">
        <f t="shared" si="109"/>
        <v>0.99992784439012716</v>
      </c>
      <c r="C1799" s="3">
        <f t="shared" si="110"/>
        <v>4441279.5136431884</v>
      </c>
      <c r="D1799" s="3">
        <f t="shared" si="111"/>
        <v>0.62926261220127344</v>
      </c>
      <c r="E1799" s="8">
        <f t="shared" ref="E1799:E1862" si="112">A1799/7</f>
        <v>256.14285714285717</v>
      </c>
    </row>
    <row r="1800" spans="1:5" ht="18.5" x14ac:dyDescent="0.45">
      <c r="A1800" s="3">
        <v>1794</v>
      </c>
      <c r="B1800" s="9">
        <f t="shared" ref="B1800:B1863" si="113">LOGNORMDIST(A1800,$A$3,$B$3)</f>
        <v>0.9999279857246387</v>
      </c>
      <c r="C1800" s="3">
        <f t="shared" ref="C1800:C1863" si="114">$E$3*B1800</f>
        <v>4441280.1413945556</v>
      </c>
      <c r="D1800" s="3">
        <f t="shared" ref="D1800:D1863" si="115">C1800-C1799</f>
        <v>0.62775136716663837</v>
      </c>
      <c r="E1800" s="8">
        <f t="shared" si="112"/>
        <v>256.28571428571428</v>
      </c>
    </row>
    <row r="1801" spans="1:5" ht="18.5" x14ac:dyDescent="0.45">
      <c r="A1801" s="3">
        <v>1795</v>
      </c>
      <c r="B1801" s="9">
        <f t="shared" si="113"/>
        <v>0.99992812671987497</v>
      </c>
      <c r="C1801" s="3">
        <f t="shared" si="114"/>
        <v>4441280.7676389962</v>
      </c>
      <c r="D1801" s="3">
        <f t="shared" si="115"/>
        <v>0.6262444406747818</v>
      </c>
      <c r="E1801" s="8">
        <f t="shared" si="112"/>
        <v>256.42857142857144</v>
      </c>
    </row>
    <row r="1802" spans="1:5" ht="18.5" x14ac:dyDescent="0.45">
      <c r="A1802" s="3">
        <v>1796</v>
      </c>
      <c r="B1802" s="9">
        <f t="shared" si="113"/>
        <v>0.99992826737680585</v>
      </c>
      <c r="C1802" s="3">
        <f t="shared" si="114"/>
        <v>4441281.3923808206</v>
      </c>
      <c r="D1802" s="3">
        <f t="shared" si="115"/>
        <v>0.62474182434380054</v>
      </c>
      <c r="E1802" s="8">
        <f t="shared" si="112"/>
        <v>256.57142857142856</v>
      </c>
    </row>
    <row r="1803" spans="1:5" ht="18.5" x14ac:dyDescent="0.45">
      <c r="A1803" s="3">
        <v>1797</v>
      </c>
      <c r="B1803" s="9">
        <f t="shared" si="113"/>
        <v>0.99992840769639746</v>
      </c>
      <c r="C1803" s="3">
        <f t="shared" si="114"/>
        <v>4441282.0156243192</v>
      </c>
      <c r="D1803" s="3">
        <f t="shared" si="115"/>
        <v>0.62324349861592054</v>
      </c>
      <c r="E1803" s="8">
        <f t="shared" si="112"/>
        <v>256.71428571428572</v>
      </c>
    </row>
    <row r="1804" spans="1:5" ht="18.5" x14ac:dyDescent="0.45">
      <c r="A1804" s="3">
        <v>1798</v>
      </c>
      <c r="B1804" s="9">
        <f t="shared" si="113"/>
        <v>0.99992854767961314</v>
      </c>
      <c r="C1804" s="3">
        <f t="shared" si="114"/>
        <v>4441282.6373737697</v>
      </c>
      <c r="D1804" s="3">
        <f t="shared" si="115"/>
        <v>0.62174945045262575</v>
      </c>
      <c r="E1804" s="8">
        <f t="shared" si="112"/>
        <v>256.85714285714283</v>
      </c>
    </row>
    <row r="1805" spans="1:5" ht="18.5" x14ac:dyDescent="0.45">
      <c r="A1805" s="3">
        <v>1799</v>
      </c>
      <c r="B1805" s="9">
        <f t="shared" si="113"/>
        <v>0.9999286873274128</v>
      </c>
      <c r="C1805" s="3">
        <f t="shared" si="114"/>
        <v>4441283.2576334365</v>
      </c>
      <c r="D1805" s="3">
        <f t="shared" si="115"/>
        <v>0.62025966681540012</v>
      </c>
      <c r="E1805" s="8">
        <f t="shared" si="112"/>
        <v>257</v>
      </c>
    </row>
    <row r="1806" spans="1:5" ht="18.5" x14ac:dyDescent="0.45">
      <c r="A1806" s="3">
        <v>1800</v>
      </c>
      <c r="B1806" s="9">
        <f t="shared" si="113"/>
        <v>0.99992882664075322</v>
      </c>
      <c r="C1806" s="3">
        <f t="shared" si="114"/>
        <v>4441283.8764075693</v>
      </c>
      <c r="D1806" s="3">
        <f t="shared" si="115"/>
        <v>0.61877413280308247</v>
      </c>
      <c r="E1806" s="8">
        <f t="shared" si="112"/>
        <v>257.14285714285717</v>
      </c>
    </row>
    <row r="1807" spans="1:5" ht="18.5" x14ac:dyDescent="0.45">
      <c r="A1807" s="3">
        <v>1801</v>
      </c>
      <c r="B1807" s="9">
        <f t="shared" si="113"/>
        <v>0.99992896562058808</v>
      </c>
      <c r="C1807" s="3">
        <f t="shared" si="114"/>
        <v>4441284.4937004037</v>
      </c>
      <c r="D1807" s="3">
        <f t="shared" si="115"/>
        <v>0.61729283444583416</v>
      </c>
      <c r="E1807" s="8">
        <f t="shared" si="112"/>
        <v>257.28571428571428</v>
      </c>
    </row>
    <row r="1808" spans="1:5" ht="18.5" x14ac:dyDescent="0.45">
      <c r="A1808" s="3">
        <v>1802</v>
      </c>
      <c r="B1808" s="9">
        <f t="shared" si="113"/>
        <v>0.99992910426786785</v>
      </c>
      <c r="C1808" s="3">
        <f t="shared" si="114"/>
        <v>4441285.1095161615</v>
      </c>
      <c r="D1808" s="3">
        <f t="shared" si="115"/>
        <v>0.61581575777381659</v>
      </c>
      <c r="E1808" s="8">
        <f t="shared" si="112"/>
        <v>257.42857142857144</v>
      </c>
    </row>
    <row r="1809" spans="1:5" ht="18.5" x14ac:dyDescent="0.45">
      <c r="A1809" s="3">
        <v>1803</v>
      </c>
      <c r="B1809" s="9">
        <f t="shared" si="113"/>
        <v>0.99992924258353966</v>
      </c>
      <c r="C1809" s="3">
        <f t="shared" si="114"/>
        <v>4441285.7238590494</v>
      </c>
      <c r="D1809" s="3">
        <f t="shared" si="115"/>
        <v>0.61434288788586855</v>
      </c>
      <c r="E1809" s="8">
        <f t="shared" si="112"/>
        <v>257.57142857142856</v>
      </c>
    </row>
    <row r="1810" spans="1:5" ht="18.5" x14ac:dyDescent="0.45">
      <c r="A1810" s="3">
        <v>1804</v>
      </c>
      <c r="B1810" s="9">
        <f t="shared" si="113"/>
        <v>0.99992938056854774</v>
      </c>
      <c r="C1810" s="3">
        <f t="shared" si="114"/>
        <v>4441286.3367332621</v>
      </c>
      <c r="D1810" s="3">
        <f t="shared" si="115"/>
        <v>0.61287421267479658</v>
      </c>
      <c r="E1810" s="8">
        <f t="shared" si="112"/>
        <v>257.71428571428572</v>
      </c>
    </row>
    <row r="1811" spans="1:5" ht="18.5" x14ac:dyDescent="0.45">
      <c r="A1811" s="3">
        <v>1805</v>
      </c>
      <c r="B1811" s="9">
        <f t="shared" si="113"/>
        <v>0.99992951822383325</v>
      </c>
      <c r="C1811" s="3">
        <f t="shared" si="114"/>
        <v>4441286.9481429774</v>
      </c>
      <c r="D1811" s="3">
        <f t="shared" si="115"/>
        <v>0.61140971537679434</v>
      </c>
      <c r="E1811" s="8">
        <f t="shared" si="112"/>
        <v>257.85714285714283</v>
      </c>
    </row>
    <row r="1812" spans="1:5" ht="18.5" x14ac:dyDescent="0.45">
      <c r="A1812" s="3">
        <v>1806</v>
      </c>
      <c r="B1812" s="9">
        <f t="shared" si="113"/>
        <v>0.99992965555033386</v>
      </c>
      <c r="C1812" s="3">
        <f t="shared" si="114"/>
        <v>4441287.5580923632</v>
      </c>
      <c r="D1812" s="3">
        <f t="shared" si="115"/>
        <v>0.6099493857473135</v>
      </c>
      <c r="E1812" s="8">
        <f t="shared" si="112"/>
        <v>258</v>
      </c>
    </row>
    <row r="1813" spans="1:5" ht="18.5" x14ac:dyDescent="0.45">
      <c r="A1813" s="3">
        <v>1807</v>
      </c>
      <c r="B1813" s="9">
        <f t="shared" si="113"/>
        <v>0.99992979254898462</v>
      </c>
      <c r="C1813" s="3">
        <f t="shared" si="114"/>
        <v>4441288.1665855702</v>
      </c>
      <c r="D1813" s="3">
        <f t="shared" si="115"/>
        <v>0.60849320702254772</v>
      </c>
      <c r="E1813" s="8">
        <f t="shared" si="112"/>
        <v>258.14285714285717</v>
      </c>
    </row>
    <row r="1814" spans="1:5" ht="18.5" x14ac:dyDescent="0.45">
      <c r="A1814" s="3">
        <v>1808</v>
      </c>
      <c r="B1814" s="9">
        <f t="shared" si="113"/>
        <v>0.999929929220717</v>
      </c>
      <c r="C1814" s="3">
        <f t="shared" si="114"/>
        <v>4441288.7736267364</v>
      </c>
      <c r="D1814" s="3">
        <f t="shared" si="115"/>
        <v>0.60704116616398096</v>
      </c>
      <c r="E1814" s="8">
        <f t="shared" si="112"/>
        <v>258.28571428571428</v>
      </c>
    </row>
    <row r="1815" spans="1:5" ht="18.5" x14ac:dyDescent="0.45">
      <c r="A1815" s="3">
        <v>1809</v>
      </c>
      <c r="B1815" s="9">
        <f t="shared" si="113"/>
        <v>0.99993006556645969</v>
      </c>
      <c r="C1815" s="3">
        <f t="shared" si="114"/>
        <v>4441289.3792199874</v>
      </c>
      <c r="D1815" s="3">
        <f t="shared" si="115"/>
        <v>0.60559325106441975</v>
      </c>
      <c r="E1815" s="8">
        <f t="shared" si="112"/>
        <v>258.42857142857144</v>
      </c>
    </row>
    <row r="1816" spans="1:5" ht="18.5" x14ac:dyDescent="0.45">
      <c r="A1816" s="3">
        <v>1810</v>
      </c>
      <c r="B1816" s="9">
        <f t="shared" si="113"/>
        <v>0.9999302015871383</v>
      </c>
      <c r="C1816" s="3">
        <f t="shared" si="114"/>
        <v>4441289.9833694333</v>
      </c>
      <c r="D1816" s="3">
        <f t="shared" si="115"/>
        <v>0.60414944589138031</v>
      </c>
      <c r="E1816" s="8">
        <f t="shared" si="112"/>
        <v>258.57142857142856</v>
      </c>
    </row>
    <row r="1817" spans="1:5" ht="18.5" x14ac:dyDescent="0.45">
      <c r="A1817" s="3">
        <v>1811</v>
      </c>
      <c r="B1817" s="9">
        <f t="shared" si="113"/>
        <v>0.99993033728367542</v>
      </c>
      <c r="C1817" s="3">
        <f t="shared" si="114"/>
        <v>4441290.5860791728</v>
      </c>
      <c r="D1817" s="3">
        <f t="shared" si="115"/>
        <v>0.60270973946899176</v>
      </c>
      <c r="E1817" s="8">
        <f t="shared" si="112"/>
        <v>258.71428571428572</v>
      </c>
    </row>
    <row r="1818" spans="1:5" ht="18.5" x14ac:dyDescent="0.45">
      <c r="A1818" s="3">
        <v>1812</v>
      </c>
      <c r="B1818" s="9">
        <f t="shared" si="113"/>
        <v>0.9999304726569902</v>
      </c>
      <c r="C1818" s="3">
        <f t="shared" si="114"/>
        <v>4441291.1873532878</v>
      </c>
      <c r="D1818" s="3">
        <f t="shared" si="115"/>
        <v>0.60127411503344774</v>
      </c>
      <c r="E1818" s="8">
        <f t="shared" si="112"/>
        <v>258.85714285714283</v>
      </c>
    </row>
    <row r="1819" spans="1:5" ht="18.5" x14ac:dyDescent="0.45">
      <c r="A1819" s="3">
        <v>1813</v>
      </c>
      <c r="B1819" s="9">
        <f t="shared" si="113"/>
        <v>0.99993060770799935</v>
      </c>
      <c r="C1819" s="3">
        <f t="shared" si="114"/>
        <v>4441291.7871958502</v>
      </c>
      <c r="D1819" s="3">
        <f t="shared" si="115"/>
        <v>0.59984256234019995</v>
      </c>
      <c r="E1819" s="8">
        <f t="shared" si="112"/>
        <v>259</v>
      </c>
    </row>
    <row r="1820" spans="1:5" ht="18.5" x14ac:dyDescent="0.45">
      <c r="A1820" s="3">
        <v>1814</v>
      </c>
      <c r="B1820" s="9">
        <f t="shared" si="113"/>
        <v>0.99993074243761615</v>
      </c>
      <c r="C1820" s="3">
        <f t="shared" si="114"/>
        <v>4441292.3856109157</v>
      </c>
      <c r="D1820" s="3">
        <f t="shared" si="115"/>
        <v>0.5984150655567646</v>
      </c>
      <c r="E1820" s="8">
        <f t="shared" si="112"/>
        <v>259.14285714285717</v>
      </c>
    </row>
    <row r="1821" spans="1:5" ht="18.5" x14ac:dyDescent="0.45">
      <c r="A1821" s="3">
        <v>1815</v>
      </c>
      <c r="B1821" s="9">
        <f t="shared" si="113"/>
        <v>0.99993087684675086</v>
      </c>
      <c r="C1821" s="3">
        <f t="shared" si="114"/>
        <v>4441292.9826025283</v>
      </c>
      <c r="D1821" s="3">
        <f t="shared" si="115"/>
        <v>0.59699161257594824</v>
      </c>
      <c r="E1821" s="8">
        <f t="shared" si="112"/>
        <v>259.28571428571428</v>
      </c>
    </row>
    <row r="1822" spans="1:5" ht="18.5" x14ac:dyDescent="0.45">
      <c r="A1822" s="3">
        <v>1816</v>
      </c>
      <c r="B1822" s="9">
        <f t="shared" si="113"/>
        <v>0.99993101093631098</v>
      </c>
      <c r="C1822" s="3">
        <f t="shared" si="114"/>
        <v>4441293.5781747187</v>
      </c>
      <c r="D1822" s="3">
        <f t="shared" si="115"/>
        <v>0.59557219035923481</v>
      </c>
      <c r="E1822" s="8">
        <f t="shared" si="112"/>
        <v>259.42857142857144</v>
      </c>
    </row>
    <row r="1823" spans="1:5" ht="18.5" x14ac:dyDescent="0.45">
      <c r="A1823" s="3">
        <v>1817</v>
      </c>
      <c r="B1823" s="9">
        <f t="shared" si="113"/>
        <v>0.9999311447072009</v>
      </c>
      <c r="C1823" s="3">
        <f t="shared" si="114"/>
        <v>4441294.1723315036</v>
      </c>
      <c r="D1823" s="3">
        <f t="shared" si="115"/>
        <v>0.5941567849367857</v>
      </c>
      <c r="E1823" s="8">
        <f t="shared" si="112"/>
        <v>259.57142857142856</v>
      </c>
    </row>
    <row r="1824" spans="1:5" ht="18.5" x14ac:dyDescent="0.45">
      <c r="A1824" s="3">
        <v>1818</v>
      </c>
      <c r="B1824" s="9">
        <f t="shared" si="113"/>
        <v>0.9999312781603219</v>
      </c>
      <c r="C1824" s="3">
        <f t="shared" si="114"/>
        <v>4441294.7650768859</v>
      </c>
      <c r="D1824" s="3">
        <f t="shared" si="115"/>
        <v>0.59274538233876228</v>
      </c>
      <c r="E1824" s="8">
        <f t="shared" si="112"/>
        <v>259.71428571428572</v>
      </c>
    </row>
    <row r="1825" spans="1:5" ht="18.5" x14ac:dyDescent="0.45">
      <c r="A1825" s="3">
        <v>1819</v>
      </c>
      <c r="B1825" s="9">
        <f t="shared" si="113"/>
        <v>0.99993141129657259</v>
      </c>
      <c r="C1825" s="3">
        <f t="shared" si="114"/>
        <v>4441295.3564148564</v>
      </c>
      <c r="D1825" s="3">
        <f t="shared" si="115"/>
        <v>0.5913379704579711</v>
      </c>
      <c r="E1825" s="8">
        <f t="shared" si="112"/>
        <v>259.85714285714283</v>
      </c>
    </row>
    <row r="1826" spans="1:5" ht="18.5" x14ac:dyDescent="0.45">
      <c r="A1826" s="3">
        <v>1820</v>
      </c>
      <c r="B1826" s="9">
        <f t="shared" si="113"/>
        <v>0.99993154411684826</v>
      </c>
      <c r="C1826" s="3">
        <f t="shared" si="114"/>
        <v>4441295.9463493936</v>
      </c>
      <c r="D1826" s="3">
        <f t="shared" si="115"/>
        <v>0.58993453718721867</v>
      </c>
      <c r="E1826" s="8">
        <f t="shared" si="112"/>
        <v>260</v>
      </c>
    </row>
    <row r="1827" spans="1:5" ht="18.5" x14ac:dyDescent="0.45">
      <c r="A1827" s="3">
        <v>1821</v>
      </c>
      <c r="B1827" s="9">
        <f t="shared" si="113"/>
        <v>0.99993167662204163</v>
      </c>
      <c r="C1827" s="3">
        <f t="shared" si="114"/>
        <v>4441296.5348844603</v>
      </c>
      <c r="D1827" s="3">
        <f t="shared" si="115"/>
        <v>0.58853506669402122</v>
      </c>
      <c r="E1827" s="8">
        <f t="shared" si="112"/>
        <v>260.14285714285717</v>
      </c>
    </row>
    <row r="1828" spans="1:5" ht="18.5" x14ac:dyDescent="0.45">
      <c r="A1828" s="3">
        <v>1822</v>
      </c>
      <c r="B1828" s="9">
        <f t="shared" si="113"/>
        <v>0.99993180881304211</v>
      </c>
      <c r="C1828" s="3">
        <f t="shared" si="114"/>
        <v>4441297.1220240081</v>
      </c>
      <c r="D1828" s="3">
        <f t="shared" si="115"/>
        <v>0.58713954780250788</v>
      </c>
      <c r="E1828" s="8">
        <f t="shared" si="112"/>
        <v>260.28571428571428</v>
      </c>
    </row>
    <row r="1829" spans="1:5" ht="18.5" x14ac:dyDescent="0.45">
      <c r="A1829" s="3">
        <v>1823</v>
      </c>
      <c r="B1829" s="9">
        <f t="shared" si="113"/>
        <v>0.99993194069073654</v>
      </c>
      <c r="C1829" s="3">
        <f t="shared" si="114"/>
        <v>4441297.7077719755</v>
      </c>
      <c r="D1829" s="3">
        <f t="shared" si="115"/>
        <v>0.58574796747416258</v>
      </c>
      <c r="E1829" s="8">
        <f t="shared" si="112"/>
        <v>260.42857142857144</v>
      </c>
    </row>
    <row r="1830" spans="1:5" ht="18.5" x14ac:dyDescent="0.45">
      <c r="A1830" s="3">
        <v>1824</v>
      </c>
      <c r="B1830" s="9">
        <f t="shared" si="113"/>
        <v>0.99993207225600855</v>
      </c>
      <c r="C1830" s="3">
        <f t="shared" si="114"/>
        <v>4441298.2921322873</v>
      </c>
      <c r="D1830" s="3">
        <f t="shared" si="115"/>
        <v>0.58436031173914671</v>
      </c>
      <c r="E1830" s="8">
        <f t="shared" si="112"/>
        <v>260.57142857142856</v>
      </c>
    </row>
    <row r="1831" spans="1:5" ht="18.5" x14ac:dyDescent="0.45">
      <c r="A1831" s="3">
        <v>1825</v>
      </c>
      <c r="B1831" s="9">
        <f t="shared" si="113"/>
        <v>0.9999322035097391</v>
      </c>
      <c r="C1831" s="3">
        <f t="shared" si="114"/>
        <v>4441298.8751088576</v>
      </c>
      <c r="D1831" s="3">
        <f t="shared" si="115"/>
        <v>0.58297657035291195</v>
      </c>
      <c r="E1831" s="8">
        <f t="shared" si="112"/>
        <v>260.71428571428572</v>
      </c>
    </row>
    <row r="1832" spans="1:5" ht="18.5" x14ac:dyDescent="0.45">
      <c r="A1832" s="3">
        <v>1826</v>
      </c>
      <c r="B1832" s="9">
        <f t="shared" si="113"/>
        <v>0.99993233445280605</v>
      </c>
      <c r="C1832" s="3">
        <f t="shared" si="114"/>
        <v>4441299.4567055833</v>
      </c>
      <c r="D1832" s="3">
        <f t="shared" si="115"/>
        <v>0.58159672562032938</v>
      </c>
      <c r="E1832" s="8">
        <f t="shared" si="112"/>
        <v>260.85714285714283</v>
      </c>
    </row>
    <row r="1833" spans="1:5" ht="18.5" x14ac:dyDescent="0.45">
      <c r="A1833" s="3">
        <v>1827</v>
      </c>
      <c r="B1833" s="9">
        <f t="shared" si="113"/>
        <v>0.99993246508608458</v>
      </c>
      <c r="C1833" s="3">
        <f t="shared" si="114"/>
        <v>4441300.0369263534</v>
      </c>
      <c r="D1833" s="3">
        <f t="shared" si="115"/>
        <v>0.58022077009081841</v>
      </c>
      <c r="E1833" s="8">
        <f t="shared" si="112"/>
        <v>261</v>
      </c>
    </row>
    <row r="1834" spans="1:5" ht="18.5" x14ac:dyDescent="0.45">
      <c r="A1834" s="3">
        <v>1828</v>
      </c>
      <c r="B1834" s="9">
        <f t="shared" si="113"/>
        <v>0.99993259541044699</v>
      </c>
      <c r="C1834" s="3">
        <f t="shared" si="114"/>
        <v>4441300.6157750413</v>
      </c>
      <c r="D1834" s="3">
        <f t="shared" si="115"/>
        <v>0.57884868793189526</v>
      </c>
      <c r="E1834" s="8">
        <f t="shared" si="112"/>
        <v>261.14285714285717</v>
      </c>
    </row>
    <row r="1835" spans="1:5" ht="18.5" x14ac:dyDescent="0.45">
      <c r="A1835" s="3">
        <v>1829</v>
      </c>
      <c r="B1835" s="9">
        <f t="shared" si="113"/>
        <v>0.99993272542676248</v>
      </c>
      <c r="C1835" s="3">
        <f t="shared" si="114"/>
        <v>4441301.1932555083</v>
      </c>
      <c r="D1835" s="3">
        <f t="shared" si="115"/>
        <v>0.57748046703636646</v>
      </c>
      <c r="E1835" s="8">
        <f t="shared" si="112"/>
        <v>261.28571428571428</v>
      </c>
    </row>
    <row r="1836" spans="1:5" ht="18.5" x14ac:dyDescent="0.45">
      <c r="A1836" s="3">
        <v>1830</v>
      </c>
      <c r="B1836" s="9">
        <f t="shared" si="113"/>
        <v>0.99993285513589758</v>
      </c>
      <c r="C1836" s="3">
        <f t="shared" si="114"/>
        <v>4441301.7693716027</v>
      </c>
      <c r="D1836" s="3">
        <f t="shared" si="115"/>
        <v>0.57611609436571598</v>
      </c>
      <c r="E1836" s="8">
        <f t="shared" si="112"/>
        <v>261.42857142857144</v>
      </c>
    </row>
    <row r="1837" spans="1:5" ht="18.5" x14ac:dyDescent="0.45">
      <c r="A1837" s="3">
        <v>1831</v>
      </c>
      <c r="B1837" s="9">
        <f t="shared" si="113"/>
        <v>0.99993298453871604</v>
      </c>
      <c r="C1837" s="3">
        <f t="shared" si="114"/>
        <v>4441302.3441271614</v>
      </c>
      <c r="D1837" s="3">
        <f t="shared" si="115"/>
        <v>0.57475555874407291</v>
      </c>
      <c r="E1837" s="8">
        <f t="shared" si="112"/>
        <v>261.57142857142856</v>
      </c>
    </row>
    <row r="1838" spans="1:5" ht="18.5" x14ac:dyDescent="0.45">
      <c r="A1838" s="3">
        <v>1832</v>
      </c>
      <c r="B1838" s="9">
        <f t="shared" si="113"/>
        <v>0.99993311363607873</v>
      </c>
      <c r="C1838" s="3">
        <f t="shared" si="114"/>
        <v>4441302.9175260076</v>
      </c>
      <c r="D1838" s="3">
        <f t="shared" si="115"/>
        <v>0.57339884620159864</v>
      </c>
      <c r="E1838" s="8">
        <f t="shared" si="112"/>
        <v>261.71428571428572</v>
      </c>
    </row>
    <row r="1839" spans="1:5" ht="18.5" x14ac:dyDescent="0.45">
      <c r="A1839" s="3">
        <v>1833</v>
      </c>
      <c r="B1839" s="9">
        <f t="shared" si="113"/>
        <v>0.99993324242884363</v>
      </c>
      <c r="C1839" s="3">
        <f t="shared" si="114"/>
        <v>4441303.4895719523</v>
      </c>
      <c r="D1839" s="3">
        <f t="shared" si="115"/>
        <v>0.5720459446310997</v>
      </c>
      <c r="E1839" s="8">
        <f t="shared" si="112"/>
        <v>261.85714285714283</v>
      </c>
    </row>
    <row r="1840" spans="1:5" ht="18.5" x14ac:dyDescent="0.45">
      <c r="A1840" s="3">
        <v>1834</v>
      </c>
      <c r="B1840" s="9">
        <f t="shared" si="113"/>
        <v>0.99993337091786594</v>
      </c>
      <c r="C1840" s="3">
        <f t="shared" si="114"/>
        <v>4441304.0602687933</v>
      </c>
      <c r="D1840" s="3">
        <f t="shared" si="115"/>
        <v>0.57069684099406004</v>
      </c>
      <c r="E1840" s="8">
        <f t="shared" si="112"/>
        <v>262</v>
      </c>
    </row>
    <row r="1841" spans="1:5" ht="18.5" x14ac:dyDescent="0.45">
      <c r="A1841" s="3">
        <v>1835</v>
      </c>
      <c r="B1841" s="9">
        <f t="shared" si="113"/>
        <v>0.9999334991039982</v>
      </c>
      <c r="C1841" s="3">
        <f t="shared" si="114"/>
        <v>4441304.6296203183</v>
      </c>
      <c r="D1841" s="3">
        <f t="shared" si="115"/>
        <v>0.56935152504593134</v>
      </c>
      <c r="E1841" s="8">
        <f t="shared" si="112"/>
        <v>262.14285714285717</v>
      </c>
    </row>
    <row r="1842" spans="1:5" ht="18.5" x14ac:dyDescent="0.45">
      <c r="A1842" s="3">
        <v>1836</v>
      </c>
      <c r="B1842" s="9">
        <f t="shared" si="113"/>
        <v>0.99993362698809007</v>
      </c>
      <c r="C1842" s="3">
        <f t="shared" si="114"/>
        <v>4441305.1976303011</v>
      </c>
      <c r="D1842" s="3">
        <f t="shared" si="115"/>
        <v>0.56800998281687498</v>
      </c>
      <c r="E1842" s="8">
        <f t="shared" si="112"/>
        <v>262.28571428571428</v>
      </c>
    </row>
    <row r="1843" spans="1:5" ht="18.5" x14ac:dyDescent="0.45">
      <c r="A1843" s="3">
        <v>1837</v>
      </c>
      <c r="B1843" s="9">
        <f t="shared" si="113"/>
        <v>0.99993375457098821</v>
      </c>
      <c r="C1843" s="3">
        <f t="shared" si="114"/>
        <v>4441305.7643025015</v>
      </c>
      <c r="D1843" s="3">
        <f t="shared" si="115"/>
        <v>0.56667220033705235</v>
      </c>
      <c r="E1843" s="8">
        <f t="shared" si="112"/>
        <v>262.42857142857144</v>
      </c>
    </row>
    <row r="1844" spans="1:5" ht="18.5" x14ac:dyDescent="0.45">
      <c r="A1844" s="3">
        <v>1838</v>
      </c>
      <c r="B1844" s="9">
        <f t="shared" si="113"/>
        <v>0.99993388185353704</v>
      </c>
      <c r="C1844" s="3">
        <f t="shared" si="114"/>
        <v>4441306.3296406697</v>
      </c>
      <c r="D1844" s="3">
        <f t="shared" si="115"/>
        <v>0.56533816829323769</v>
      </c>
      <c r="E1844" s="8">
        <f t="shared" si="112"/>
        <v>262.57142857142856</v>
      </c>
    </row>
    <row r="1845" spans="1:5" ht="18.5" x14ac:dyDescent="0.45">
      <c r="A1845" s="3">
        <v>1839</v>
      </c>
      <c r="B1845" s="9">
        <f t="shared" si="113"/>
        <v>0.99993400883657768</v>
      </c>
      <c r="C1845" s="3">
        <f t="shared" si="114"/>
        <v>4441306.8936485434</v>
      </c>
      <c r="D1845" s="3">
        <f t="shared" si="115"/>
        <v>0.56400787364691496</v>
      </c>
      <c r="E1845" s="8">
        <f t="shared" si="112"/>
        <v>262.71428571428572</v>
      </c>
    </row>
    <row r="1846" spans="1:5" ht="18.5" x14ac:dyDescent="0.45">
      <c r="A1846" s="3">
        <v>1840</v>
      </c>
      <c r="B1846" s="9">
        <f t="shared" si="113"/>
        <v>0.9999341355209489</v>
      </c>
      <c r="C1846" s="3">
        <f t="shared" si="114"/>
        <v>4441307.4563298468</v>
      </c>
      <c r="D1846" s="3">
        <f t="shared" si="115"/>
        <v>0.56268130335956812</v>
      </c>
      <c r="E1846" s="8">
        <f t="shared" si="112"/>
        <v>262.85714285714283</v>
      </c>
    </row>
    <row r="1847" spans="1:5" ht="18.5" x14ac:dyDescent="0.45">
      <c r="A1847" s="3">
        <v>1841</v>
      </c>
      <c r="B1847" s="9">
        <f t="shared" si="113"/>
        <v>0.99993426190748658</v>
      </c>
      <c r="C1847" s="3">
        <f t="shared" si="114"/>
        <v>4441308.0176882921</v>
      </c>
      <c r="D1847" s="3">
        <f t="shared" si="115"/>
        <v>0.5613584453240037</v>
      </c>
      <c r="E1847" s="8">
        <f t="shared" si="112"/>
        <v>263</v>
      </c>
    </row>
    <row r="1848" spans="1:5" ht="18.5" x14ac:dyDescent="0.45">
      <c r="A1848" s="3">
        <v>1842</v>
      </c>
      <c r="B1848" s="9">
        <f t="shared" si="113"/>
        <v>0.99993438799702372</v>
      </c>
      <c r="C1848" s="3">
        <f t="shared" si="114"/>
        <v>4441308.5777275804</v>
      </c>
      <c r="D1848" s="3">
        <f t="shared" si="115"/>
        <v>0.5600392883643508</v>
      </c>
      <c r="E1848" s="8">
        <f t="shared" si="112"/>
        <v>263.14285714285717</v>
      </c>
    </row>
    <row r="1849" spans="1:5" ht="18.5" x14ac:dyDescent="0.45">
      <c r="A1849" s="3">
        <v>1843</v>
      </c>
      <c r="B1849" s="9">
        <f t="shared" si="113"/>
        <v>0.999934513790391</v>
      </c>
      <c r="C1849" s="3">
        <f t="shared" si="114"/>
        <v>4441309.1364514008</v>
      </c>
      <c r="D1849" s="3">
        <f t="shared" si="115"/>
        <v>0.55872382037341595</v>
      </c>
      <c r="E1849" s="8">
        <f t="shared" si="112"/>
        <v>263.28571428571428</v>
      </c>
    </row>
    <row r="1850" spans="1:5" ht="18.5" x14ac:dyDescent="0.45">
      <c r="A1850" s="3">
        <v>1844</v>
      </c>
      <c r="B1850" s="9">
        <f t="shared" si="113"/>
        <v>0.99993463928841608</v>
      </c>
      <c r="C1850" s="3">
        <f t="shared" si="114"/>
        <v>4441309.6938634291</v>
      </c>
      <c r="D1850" s="3">
        <f t="shared" si="115"/>
        <v>0.55741202831268311</v>
      </c>
      <c r="E1850" s="8">
        <f t="shared" si="112"/>
        <v>263.42857142857144</v>
      </c>
    </row>
    <row r="1851" spans="1:5" ht="18.5" x14ac:dyDescent="0.45">
      <c r="A1851" s="3">
        <v>1845</v>
      </c>
      <c r="B1851" s="9">
        <f t="shared" si="113"/>
        <v>0.99993476449192387</v>
      </c>
      <c r="C1851" s="3">
        <f t="shared" si="114"/>
        <v>4441310.2499673292</v>
      </c>
      <c r="D1851" s="3">
        <f t="shared" si="115"/>
        <v>0.5561039000749588</v>
      </c>
      <c r="E1851" s="8">
        <f t="shared" si="112"/>
        <v>263.57142857142856</v>
      </c>
    </row>
    <row r="1852" spans="1:5" ht="18.5" x14ac:dyDescent="0.45">
      <c r="A1852" s="3">
        <v>1846</v>
      </c>
      <c r="B1852" s="9">
        <f t="shared" si="113"/>
        <v>0.99993488940173703</v>
      </c>
      <c r="C1852" s="3">
        <f t="shared" si="114"/>
        <v>4441310.8047667556</v>
      </c>
      <c r="D1852" s="3">
        <f t="shared" si="115"/>
        <v>0.55479942634701729</v>
      </c>
      <c r="E1852" s="8">
        <f t="shared" si="112"/>
        <v>263.71428571428572</v>
      </c>
    </row>
    <row r="1853" spans="1:5" ht="18.5" x14ac:dyDescent="0.45">
      <c r="A1853" s="3">
        <v>1847</v>
      </c>
      <c r="B1853" s="9">
        <f t="shared" si="113"/>
        <v>0.99993501401867502</v>
      </c>
      <c r="C1853" s="3">
        <f t="shared" si="114"/>
        <v>4441311.3582653468</v>
      </c>
      <c r="D1853" s="3">
        <f t="shared" si="115"/>
        <v>0.5534985912963748</v>
      </c>
      <c r="E1853" s="8">
        <f t="shared" si="112"/>
        <v>263.85714285714283</v>
      </c>
    </row>
    <row r="1854" spans="1:5" ht="18.5" x14ac:dyDescent="0.45">
      <c r="A1854" s="3">
        <v>1848</v>
      </c>
      <c r="B1854" s="9">
        <f t="shared" si="113"/>
        <v>0.99993513834355496</v>
      </c>
      <c r="C1854" s="3">
        <f t="shared" si="114"/>
        <v>4441311.9104667334</v>
      </c>
      <c r="D1854" s="3">
        <f t="shared" si="115"/>
        <v>0.55220138654112816</v>
      </c>
      <c r="E1854" s="8">
        <f t="shared" si="112"/>
        <v>264</v>
      </c>
    </row>
    <row r="1855" spans="1:5" ht="18.5" x14ac:dyDescent="0.45">
      <c r="A1855" s="3">
        <v>1849</v>
      </c>
      <c r="B1855" s="9">
        <f t="shared" si="113"/>
        <v>0.99993526237719133</v>
      </c>
      <c r="C1855" s="3">
        <f t="shared" si="114"/>
        <v>4441312.4613745334</v>
      </c>
      <c r="D1855" s="3">
        <f t="shared" si="115"/>
        <v>0.5509077999740839</v>
      </c>
      <c r="E1855" s="8">
        <f t="shared" si="112"/>
        <v>264.14285714285717</v>
      </c>
    </row>
    <row r="1856" spans="1:5" ht="18.5" x14ac:dyDescent="0.45">
      <c r="A1856" s="3">
        <v>1850</v>
      </c>
      <c r="B1856" s="9">
        <f t="shared" si="113"/>
        <v>0.99993538612039579</v>
      </c>
      <c r="C1856" s="3">
        <f t="shared" si="114"/>
        <v>4441313.0109923501</v>
      </c>
      <c r="D1856" s="3">
        <f t="shared" si="115"/>
        <v>0.54961781669408083</v>
      </c>
      <c r="E1856" s="8">
        <f t="shared" si="112"/>
        <v>264.28571428571428</v>
      </c>
    </row>
    <row r="1857" spans="1:5" ht="18.5" x14ac:dyDescent="0.45">
      <c r="A1857" s="3">
        <v>1851</v>
      </c>
      <c r="B1857" s="9">
        <f t="shared" si="113"/>
        <v>0.99993550957397748</v>
      </c>
      <c r="C1857" s="3">
        <f t="shared" si="114"/>
        <v>4441313.5593237784</v>
      </c>
      <c r="D1857" s="3">
        <f t="shared" si="115"/>
        <v>0.54833142831921577</v>
      </c>
      <c r="E1857" s="8">
        <f t="shared" si="112"/>
        <v>264.42857142857144</v>
      </c>
    </row>
    <row r="1858" spans="1:5" ht="18.5" x14ac:dyDescent="0.45">
      <c r="A1858" s="3">
        <v>1852</v>
      </c>
      <c r="B1858" s="9">
        <f t="shared" si="113"/>
        <v>0.99993563273874286</v>
      </c>
      <c r="C1858" s="3">
        <f t="shared" si="114"/>
        <v>4441314.1063724002</v>
      </c>
      <c r="D1858" s="3">
        <f t="shared" si="115"/>
        <v>0.54704862181097269</v>
      </c>
      <c r="E1858" s="8">
        <f t="shared" si="112"/>
        <v>264.57142857142856</v>
      </c>
    </row>
    <row r="1859" spans="1:5" ht="18.5" x14ac:dyDescent="0.45">
      <c r="A1859" s="3">
        <v>1853</v>
      </c>
      <c r="B1859" s="9">
        <f t="shared" si="113"/>
        <v>0.99993575561549586</v>
      </c>
      <c r="C1859" s="3">
        <f t="shared" si="114"/>
        <v>4441314.6521417862</v>
      </c>
      <c r="D1859" s="3">
        <f t="shared" si="115"/>
        <v>0.54576938599348068</v>
      </c>
      <c r="E1859" s="8">
        <f t="shared" si="112"/>
        <v>264.71428571428572</v>
      </c>
    </row>
    <row r="1860" spans="1:5" ht="18.5" x14ac:dyDescent="0.45">
      <c r="A1860" s="3">
        <v>1854</v>
      </c>
      <c r="B1860" s="9">
        <f t="shared" si="113"/>
        <v>0.99993587820503771</v>
      </c>
      <c r="C1860" s="3">
        <f t="shared" si="114"/>
        <v>4441315.1966354959</v>
      </c>
      <c r="D1860" s="3">
        <f t="shared" si="115"/>
        <v>0.54449370969086885</v>
      </c>
      <c r="E1860" s="8">
        <f t="shared" si="112"/>
        <v>264.85714285714283</v>
      </c>
    </row>
    <row r="1861" spans="1:5" ht="18.5" x14ac:dyDescent="0.45">
      <c r="A1861" s="3">
        <v>1855</v>
      </c>
      <c r="B1861" s="9">
        <f t="shared" si="113"/>
        <v>0.99993600050816711</v>
      </c>
      <c r="C1861" s="3">
        <f t="shared" si="114"/>
        <v>4441315.7398570748</v>
      </c>
      <c r="D1861" s="3">
        <f t="shared" si="115"/>
        <v>0.54322157893329859</v>
      </c>
      <c r="E1861" s="8">
        <f t="shared" si="112"/>
        <v>265</v>
      </c>
    </row>
    <row r="1862" spans="1:5" ht="18.5" x14ac:dyDescent="0.45">
      <c r="A1862" s="3">
        <v>1856</v>
      </c>
      <c r="B1862" s="9">
        <f t="shared" si="113"/>
        <v>0.9999361225256802</v>
      </c>
      <c r="C1862" s="3">
        <f t="shared" si="114"/>
        <v>4441316.2818100611</v>
      </c>
      <c r="D1862" s="3">
        <f t="shared" si="115"/>
        <v>0.54195298627018929</v>
      </c>
      <c r="E1862" s="8">
        <f t="shared" si="112"/>
        <v>265.14285714285717</v>
      </c>
    </row>
    <row r="1863" spans="1:5" ht="18.5" x14ac:dyDescent="0.45">
      <c r="A1863" s="3">
        <v>1857</v>
      </c>
      <c r="B1863" s="9">
        <f t="shared" si="113"/>
        <v>0.99993624425837035</v>
      </c>
      <c r="C1863" s="3">
        <f t="shared" si="114"/>
        <v>4441316.8224979779</v>
      </c>
      <c r="D1863" s="3">
        <f t="shared" si="115"/>
        <v>0.54068791680037975</v>
      </c>
      <c r="E1863" s="8">
        <f t="shared" ref="E1863:E1926" si="116">A1863/7</f>
        <v>265.28571428571428</v>
      </c>
    </row>
    <row r="1864" spans="1:5" ht="18.5" x14ac:dyDescent="0.45">
      <c r="A1864" s="3">
        <v>1858</v>
      </c>
      <c r="B1864" s="9">
        <f t="shared" ref="B1864:B1927" si="117">LOGNORMDIST(A1864,$A$3,$B$3)</f>
        <v>0.99993636570702871</v>
      </c>
      <c r="C1864" s="3">
        <f t="shared" ref="C1864:C1927" si="118">$E$3*B1864</f>
        <v>4441317.3619243391</v>
      </c>
      <c r="D1864" s="3">
        <f t="shared" ref="D1864:D1927" si="119">C1864-C1863</f>
        <v>0.53942636121064425</v>
      </c>
      <c r="E1864" s="8">
        <f t="shared" si="116"/>
        <v>265.42857142857144</v>
      </c>
    </row>
    <row r="1865" spans="1:5" ht="18.5" x14ac:dyDescent="0.45">
      <c r="A1865" s="3">
        <v>1859</v>
      </c>
      <c r="B1865" s="9">
        <f t="shared" si="117"/>
        <v>0.99993648687244352</v>
      </c>
      <c r="C1865" s="3">
        <f t="shared" si="118"/>
        <v>4441317.9000926455</v>
      </c>
      <c r="D1865" s="3">
        <f t="shared" si="119"/>
        <v>0.53816830646246672</v>
      </c>
      <c r="E1865" s="8">
        <f t="shared" si="116"/>
        <v>265.57142857142856</v>
      </c>
    </row>
    <row r="1866" spans="1:5" ht="18.5" x14ac:dyDescent="0.45">
      <c r="A1866" s="3">
        <v>1860</v>
      </c>
      <c r="B1866" s="9">
        <f t="shared" si="117"/>
        <v>0.99993660775540083</v>
      </c>
      <c r="C1866" s="3">
        <f t="shared" si="118"/>
        <v>4441318.4370063888</v>
      </c>
      <c r="D1866" s="3">
        <f t="shared" si="119"/>
        <v>0.53691374324262142</v>
      </c>
      <c r="E1866" s="8">
        <f t="shared" si="116"/>
        <v>265.71428571428572</v>
      </c>
    </row>
    <row r="1867" spans="1:5" ht="18.5" x14ac:dyDescent="0.45">
      <c r="A1867" s="3">
        <v>1861</v>
      </c>
      <c r="B1867" s="9">
        <f t="shared" si="117"/>
        <v>0.99993672835668379</v>
      </c>
      <c r="C1867" s="3">
        <f t="shared" si="118"/>
        <v>4441318.9726690464</v>
      </c>
      <c r="D1867" s="3">
        <f t="shared" si="119"/>
        <v>0.53566265758126974</v>
      </c>
      <c r="E1867" s="8">
        <f t="shared" si="116"/>
        <v>265.85714285714283</v>
      </c>
    </row>
    <row r="1868" spans="1:5" ht="18.5" x14ac:dyDescent="0.45">
      <c r="A1868" s="3">
        <v>1862</v>
      </c>
      <c r="B1868" s="9">
        <f t="shared" si="117"/>
        <v>0.99993684867707322</v>
      </c>
      <c r="C1868" s="3">
        <f t="shared" si="118"/>
        <v>4441319.5070840884</v>
      </c>
      <c r="D1868" s="3">
        <f t="shared" si="119"/>
        <v>0.53441504202783108</v>
      </c>
      <c r="E1868" s="8">
        <f t="shared" si="116"/>
        <v>266</v>
      </c>
    </row>
    <row r="1869" spans="1:5" ht="18.5" x14ac:dyDescent="0.45">
      <c r="A1869" s="3">
        <v>1863</v>
      </c>
      <c r="B1869" s="9">
        <f t="shared" si="117"/>
        <v>0.99993696871734739</v>
      </c>
      <c r="C1869" s="3">
        <f t="shared" si="118"/>
        <v>4441320.0402549701</v>
      </c>
      <c r="D1869" s="3">
        <f t="shared" si="119"/>
        <v>0.53317088168114424</v>
      </c>
      <c r="E1869" s="8">
        <f t="shared" si="116"/>
        <v>266.14285714285717</v>
      </c>
    </row>
    <row r="1870" spans="1:5" ht="18.5" x14ac:dyDescent="0.45">
      <c r="A1870" s="3">
        <v>1864</v>
      </c>
      <c r="B1870" s="9">
        <f t="shared" si="117"/>
        <v>0.99993708847828211</v>
      </c>
      <c r="C1870" s="3">
        <f t="shared" si="118"/>
        <v>4441320.5721851382</v>
      </c>
      <c r="D1870" s="3">
        <f t="shared" si="119"/>
        <v>0.53193016815930605</v>
      </c>
      <c r="E1870" s="8">
        <f t="shared" si="116"/>
        <v>266.28571428571428</v>
      </c>
    </row>
    <row r="1871" spans="1:5" ht="18.5" x14ac:dyDescent="0.45">
      <c r="A1871" s="3">
        <v>1865</v>
      </c>
      <c r="B1871" s="9">
        <f t="shared" si="117"/>
        <v>0.99993720796065066</v>
      </c>
      <c r="C1871" s="3">
        <f t="shared" si="118"/>
        <v>4441321.1028780257</v>
      </c>
      <c r="D1871" s="3">
        <f t="shared" si="119"/>
        <v>0.53069288749247789</v>
      </c>
      <c r="E1871" s="8">
        <f t="shared" si="116"/>
        <v>266.42857142857144</v>
      </c>
    </row>
    <row r="1872" spans="1:5" ht="18.5" x14ac:dyDescent="0.45">
      <c r="A1872" s="3">
        <v>1866</v>
      </c>
      <c r="B1872" s="9">
        <f t="shared" si="117"/>
        <v>0.99993732716522377</v>
      </c>
      <c r="C1872" s="3">
        <f t="shared" si="118"/>
        <v>4441321.632337058</v>
      </c>
      <c r="D1872" s="3">
        <f t="shared" si="119"/>
        <v>0.52945903223007917</v>
      </c>
      <c r="E1872" s="8">
        <f t="shared" si="116"/>
        <v>266.57142857142856</v>
      </c>
    </row>
    <row r="1873" spans="1:5" ht="18.5" x14ac:dyDescent="0.45">
      <c r="A1873" s="3">
        <v>1867</v>
      </c>
      <c r="B1873" s="9">
        <f t="shared" si="117"/>
        <v>0.99993744609276969</v>
      </c>
      <c r="C1873" s="3">
        <f t="shared" si="118"/>
        <v>4441322.1605656454</v>
      </c>
      <c r="D1873" s="3">
        <f t="shared" si="119"/>
        <v>0.5282285874709487</v>
      </c>
      <c r="E1873" s="8">
        <f t="shared" si="116"/>
        <v>266.71428571428572</v>
      </c>
    </row>
    <row r="1874" spans="1:5" ht="18.5" x14ac:dyDescent="0.45">
      <c r="A1874" s="3">
        <v>1868</v>
      </c>
      <c r="B1874" s="9">
        <f t="shared" si="117"/>
        <v>0.99993756474405437</v>
      </c>
      <c r="C1874" s="3">
        <f t="shared" si="118"/>
        <v>4441322.6875671921</v>
      </c>
      <c r="D1874" s="3">
        <f t="shared" si="119"/>
        <v>0.52700154669582844</v>
      </c>
      <c r="E1874" s="8">
        <f t="shared" si="116"/>
        <v>266.85714285714283</v>
      </c>
    </row>
    <row r="1875" spans="1:5" ht="18.5" x14ac:dyDescent="0.45">
      <c r="A1875" s="3">
        <v>1869</v>
      </c>
      <c r="B1875" s="9">
        <f t="shared" si="117"/>
        <v>0.99993768311984099</v>
      </c>
      <c r="C1875" s="3">
        <f t="shared" si="118"/>
        <v>4441323.2133450862</v>
      </c>
      <c r="D1875" s="3">
        <f t="shared" si="119"/>
        <v>0.52577789407223463</v>
      </c>
      <c r="E1875" s="8">
        <f t="shared" si="116"/>
        <v>267</v>
      </c>
    </row>
    <row r="1876" spans="1:5" ht="18.5" x14ac:dyDescent="0.45">
      <c r="A1876" s="3">
        <v>1870</v>
      </c>
      <c r="B1876" s="9">
        <f t="shared" si="117"/>
        <v>0.9999378012208906</v>
      </c>
      <c r="C1876" s="3">
        <f t="shared" si="118"/>
        <v>4441323.7379027074</v>
      </c>
      <c r="D1876" s="3">
        <f t="shared" si="119"/>
        <v>0.5245576212182641</v>
      </c>
      <c r="E1876" s="8">
        <f t="shared" si="116"/>
        <v>267.14285714285717</v>
      </c>
    </row>
    <row r="1877" spans="1:5" ht="18.5" x14ac:dyDescent="0.45">
      <c r="A1877" s="3">
        <v>1871</v>
      </c>
      <c r="B1877" s="9">
        <f t="shared" si="117"/>
        <v>0.99993791904796159</v>
      </c>
      <c r="C1877" s="3">
        <f t="shared" si="118"/>
        <v>4441324.2612434262</v>
      </c>
      <c r="D1877" s="3">
        <f t="shared" si="119"/>
        <v>0.52334071882069111</v>
      </c>
      <c r="E1877" s="8">
        <f t="shared" si="116"/>
        <v>267.28571428571428</v>
      </c>
    </row>
    <row r="1878" spans="1:5" ht="18.5" x14ac:dyDescent="0.45">
      <c r="A1878" s="3">
        <v>1872</v>
      </c>
      <c r="B1878" s="9">
        <f t="shared" si="117"/>
        <v>0.99993803660181002</v>
      </c>
      <c r="C1878" s="3">
        <f t="shared" si="118"/>
        <v>4441324.7833705992</v>
      </c>
      <c r="D1878" s="3">
        <f t="shared" si="119"/>
        <v>0.52212717290967703</v>
      </c>
      <c r="E1878" s="8">
        <f t="shared" si="116"/>
        <v>267.42857142857144</v>
      </c>
    </row>
    <row r="1879" spans="1:5" ht="18.5" x14ac:dyDescent="0.45">
      <c r="A1879" s="3">
        <v>1873</v>
      </c>
      <c r="B1879" s="9">
        <f t="shared" si="117"/>
        <v>0.99993815388318952</v>
      </c>
      <c r="C1879" s="3">
        <f t="shared" si="118"/>
        <v>4441325.3042875743</v>
      </c>
      <c r="D1879" s="3">
        <f t="shared" si="119"/>
        <v>0.52091697510331869</v>
      </c>
      <c r="E1879" s="8">
        <f t="shared" si="116"/>
        <v>267.57142857142856</v>
      </c>
    </row>
    <row r="1880" spans="1:5" ht="18.5" x14ac:dyDescent="0.45">
      <c r="A1880" s="3">
        <v>1874</v>
      </c>
      <c r="B1880" s="9">
        <f t="shared" si="117"/>
        <v>0.99993827089285114</v>
      </c>
      <c r="C1880" s="3">
        <f t="shared" si="118"/>
        <v>4441325.8239976875</v>
      </c>
      <c r="D1880" s="3">
        <f t="shared" si="119"/>
        <v>0.51971011329442263</v>
      </c>
      <c r="E1880" s="8">
        <f t="shared" si="116"/>
        <v>267.71428571428572</v>
      </c>
    </row>
    <row r="1881" spans="1:5" ht="18.5" x14ac:dyDescent="0.45">
      <c r="A1881" s="3">
        <v>1875</v>
      </c>
      <c r="B1881" s="9">
        <f t="shared" si="117"/>
        <v>0.99993838763154375</v>
      </c>
      <c r="C1881" s="3">
        <f t="shared" si="118"/>
        <v>4441326.3425042648</v>
      </c>
      <c r="D1881" s="3">
        <f t="shared" si="119"/>
        <v>0.51850657723844051</v>
      </c>
      <c r="E1881" s="8">
        <f t="shared" si="116"/>
        <v>267.85714285714283</v>
      </c>
    </row>
    <row r="1882" spans="1:5" ht="18.5" x14ac:dyDescent="0.45">
      <c r="A1882" s="3">
        <v>1876</v>
      </c>
      <c r="B1882" s="9">
        <f t="shared" si="117"/>
        <v>0.99993850410001361</v>
      </c>
      <c r="C1882" s="3">
        <f t="shared" si="118"/>
        <v>4441326.8598106205</v>
      </c>
      <c r="D1882" s="3">
        <f t="shared" si="119"/>
        <v>0.51730635575950146</v>
      </c>
      <c r="E1882" s="8">
        <f t="shared" si="116"/>
        <v>268</v>
      </c>
    </row>
    <row r="1883" spans="1:5" ht="18.5" x14ac:dyDescent="0.45">
      <c r="A1883" s="3">
        <v>1877</v>
      </c>
      <c r="B1883" s="9">
        <f t="shared" si="117"/>
        <v>0.99993862029900493</v>
      </c>
      <c r="C1883" s="3">
        <f t="shared" si="118"/>
        <v>4441327.3759200601</v>
      </c>
      <c r="D1883" s="3">
        <f t="shared" si="119"/>
        <v>0.51610943954437971</v>
      </c>
      <c r="E1883" s="8">
        <f t="shared" si="116"/>
        <v>268.14285714285717</v>
      </c>
    </row>
    <row r="1884" spans="1:5" ht="18.5" x14ac:dyDescent="0.45">
      <c r="A1884" s="3">
        <v>1878</v>
      </c>
      <c r="B1884" s="9">
        <f t="shared" si="117"/>
        <v>0.999938736229259</v>
      </c>
      <c r="C1884" s="3">
        <f t="shared" si="118"/>
        <v>4441327.8908358766</v>
      </c>
      <c r="D1884" s="3">
        <f t="shared" si="119"/>
        <v>0.51491581648588181</v>
      </c>
      <c r="E1884" s="8">
        <f t="shared" si="116"/>
        <v>268.28571428571428</v>
      </c>
    </row>
    <row r="1885" spans="1:5" ht="18.5" x14ac:dyDescent="0.45">
      <c r="A1885" s="3">
        <v>1879</v>
      </c>
      <c r="B1885" s="9">
        <f t="shared" si="117"/>
        <v>0.99993885189151532</v>
      </c>
      <c r="C1885" s="3">
        <f t="shared" si="118"/>
        <v>4441328.4045613548</v>
      </c>
      <c r="D1885" s="3">
        <f t="shared" si="119"/>
        <v>0.51372547820210457</v>
      </c>
      <c r="E1885" s="8">
        <f t="shared" si="116"/>
        <v>268.42857142857144</v>
      </c>
    </row>
    <row r="1886" spans="1:5" ht="18.5" x14ac:dyDescent="0.45">
      <c r="A1886" s="3">
        <v>1880</v>
      </c>
      <c r="B1886" s="9">
        <f t="shared" si="117"/>
        <v>0.99993896728651055</v>
      </c>
      <c r="C1886" s="3">
        <f t="shared" si="118"/>
        <v>4441328.9170997655</v>
      </c>
      <c r="D1886" s="3">
        <f t="shared" si="119"/>
        <v>0.51253841072320938</v>
      </c>
      <c r="E1886" s="8">
        <f t="shared" si="116"/>
        <v>268.57142857142856</v>
      </c>
    </row>
    <row r="1887" spans="1:5" ht="18.5" x14ac:dyDescent="0.45">
      <c r="A1887" s="3">
        <v>1881</v>
      </c>
      <c r="B1887" s="9">
        <f t="shared" si="117"/>
        <v>0.9999390824149792</v>
      </c>
      <c r="C1887" s="3">
        <f t="shared" si="118"/>
        <v>4441329.4284543712</v>
      </c>
      <c r="D1887" s="3">
        <f t="shared" si="119"/>
        <v>0.51135460566729307</v>
      </c>
      <c r="E1887" s="8">
        <f t="shared" si="116"/>
        <v>268.71428571428572</v>
      </c>
    </row>
    <row r="1888" spans="1:5" ht="18.5" x14ac:dyDescent="0.45">
      <c r="A1888" s="3">
        <v>1882</v>
      </c>
      <c r="B1888" s="9">
        <f t="shared" si="117"/>
        <v>0.99993919727765346</v>
      </c>
      <c r="C1888" s="3">
        <f t="shared" si="118"/>
        <v>4441329.9386284258</v>
      </c>
      <c r="D1888" s="3">
        <f t="shared" si="119"/>
        <v>0.51017405465245247</v>
      </c>
      <c r="E1888" s="8">
        <f t="shared" si="116"/>
        <v>268.85714285714283</v>
      </c>
    </row>
    <row r="1889" spans="1:5" ht="18.5" x14ac:dyDescent="0.45">
      <c r="A1889" s="3">
        <v>1883</v>
      </c>
      <c r="B1889" s="9">
        <f t="shared" si="117"/>
        <v>0.99993931187526319</v>
      </c>
      <c r="C1889" s="3">
        <f t="shared" si="118"/>
        <v>4441330.4476251686</v>
      </c>
      <c r="D1889" s="3">
        <f t="shared" si="119"/>
        <v>0.50899674277752638</v>
      </c>
      <c r="E1889" s="8">
        <f t="shared" si="116"/>
        <v>269</v>
      </c>
    </row>
    <row r="1890" spans="1:5" ht="18.5" x14ac:dyDescent="0.45">
      <c r="A1890" s="3">
        <v>1884</v>
      </c>
      <c r="B1890" s="9">
        <f t="shared" si="117"/>
        <v>0.99993942620853593</v>
      </c>
      <c r="C1890" s="3">
        <f t="shared" si="118"/>
        <v>4441330.9554478331</v>
      </c>
      <c r="D1890" s="3">
        <f t="shared" si="119"/>
        <v>0.50782266445457935</v>
      </c>
      <c r="E1890" s="8">
        <f t="shared" si="116"/>
        <v>269.14285714285717</v>
      </c>
    </row>
    <row r="1891" spans="1:5" ht="18.5" x14ac:dyDescent="0.45">
      <c r="A1891" s="3">
        <v>1885</v>
      </c>
      <c r="B1891" s="9">
        <f t="shared" si="117"/>
        <v>0.99993954027819654</v>
      </c>
      <c r="C1891" s="3">
        <f t="shared" si="118"/>
        <v>4441331.4620996378</v>
      </c>
      <c r="D1891" s="3">
        <f t="shared" si="119"/>
        <v>0.5066518047824502</v>
      </c>
      <c r="E1891" s="8">
        <f t="shared" si="116"/>
        <v>269.28571428571428</v>
      </c>
    </row>
    <row r="1892" spans="1:5" ht="18.5" x14ac:dyDescent="0.45">
      <c r="A1892" s="3">
        <v>1886</v>
      </c>
      <c r="B1892" s="9">
        <f t="shared" si="117"/>
        <v>0.99993965408496821</v>
      </c>
      <c r="C1892" s="3">
        <f t="shared" si="118"/>
        <v>4441331.9675837951</v>
      </c>
      <c r="D1892" s="3">
        <f t="shared" si="119"/>
        <v>0.50548415724188089</v>
      </c>
      <c r="E1892" s="8">
        <f t="shared" si="116"/>
        <v>269.42857142857144</v>
      </c>
    </row>
    <row r="1893" spans="1:5" ht="18.5" x14ac:dyDescent="0.45">
      <c r="A1893" s="3">
        <v>1887</v>
      </c>
      <c r="B1893" s="9">
        <f t="shared" si="117"/>
        <v>0.99993976762957115</v>
      </c>
      <c r="C1893" s="3">
        <f t="shared" si="118"/>
        <v>4441332.4719035029</v>
      </c>
      <c r="D1893" s="3">
        <f t="shared" si="119"/>
        <v>0.50431970786303282</v>
      </c>
      <c r="E1893" s="8">
        <f t="shared" si="116"/>
        <v>269.57142857142856</v>
      </c>
    </row>
    <row r="1894" spans="1:5" ht="18.5" x14ac:dyDescent="0.45">
      <c r="A1894" s="3">
        <v>1888</v>
      </c>
      <c r="B1894" s="9">
        <f t="shared" si="117"/>
        <v>0.9999398809127239</v>
      </c>
      <c r="C1894" s="3">
        <f t="shared" si="118"/>
        <v>4441332.9750619549</v>
      </c>
      <c r="D1894" s="3">
        <f t="shared" si="119"/>
        <v>0.5031584519892931</v>
      </c>
      <c r="E1894" s="8">
        <f t="shared" si="116"/>
        <v>269.71428571428572</v>
      </c>
    </row>
    <row r="1895" spans="1:5" ht="18.5" x14ac:dyDescent="0.45">
      <c r="A1895" s="3">
        <v>1889</v>
      </c>
      <c r="B1895" s="9">
        <f t="shared" si="117"/>
        <v>0.99993999393514221</v>
      </c>
      <c r="C1895" s="3">
        <f t="shared" si="118"/>
        <v>4441333.4770623278</v>
      </c>
      <c r="D1895" s="3">
        <f t="shared" si="119"/>
        <v>0.50200037285685539</v>
      </c>
      <c r="E1895" s="8">
        <f t="shared" si="116"/>
        <v>269.85714285714283</v>
      </c>
    </row>
    <row r="1896" spans="1:5" ht="18.5" x14ac:dyDescent="0.45">
      <c r="A1896" s="3">
        <v>1890</v>
      </c>
      <c r="B1896" s="9">
        <f t="shared" si="117"/>
        <v>0.99994010669753985</v>
      </c>
      <c r="C1896" s="3">
        <f t="shared" si="118"/>
        <v>4441333.9779077927</v>
      </c>
      <c r="D1896" s="3">
        <f t="shared" si="119"/>
        <v>0.50084546487778425</v>
      </c>
      <c r="E1896" s="8">
        <f t="shared" si="116"/>
        <v>270</v>
      </c>
    </row>
    <row r="1897" spans="1:5" ht="18.5" x14ac:dyDescent="0.45">
      <c r="A1897" s="3">
        <v>1891</v>
      </c>
      <c r="B1897" s="9">
        <f t="shared" si="117"/>
        <v>0.99994021920062814</v>
      </c>
      <c r="C1897" s="3">
        <f t="shared" si="118"/>
        <v>4441334.4776015095</v>
      </c>
      <c r="D1897" s="3">
        <f t="shared" si="119"/>
        <v>0.49969371687620878</v>
      </c>
      <c r="E1897" s="8">
        <f t="shared" si="116"/>
        <v>270.14285714285717</v>
      </c>
    </row>
    <row r="1898" spans="1:5" ht="18.5" x14ac:dyDescent="0.45">
      <c r="A1898" s="3">
        <v>1892</v>
      </c>
      <c r="B1898" s="9">
        <f t="shared" si="117"/>
        <v>0.99994033144511629</v>
      </c>
      <c r="C1898" s="3">
        <f t="shared" si="118"/>
        <v>4441334.9761466281</v>
      </c>
      <c r="D1898" s="3">
        <f t="shared" si="119"/>
        <v>0.49854511860758066</v>
      </c>
      <c r="E1898" s="8">
        <f t="shared" si="116"/>
        <v>270.28571428571428</v>
      </c>
    </row>
    <row r="1899" spans="1:5" ht="18.5" x14ac:dyDescent="0.45">
      <c r="A1899" s="3">
        <v>1893</v>
      </c>
      <c r="B1899" s="9">
        <f t="shared" si="117"/>
        <v>0.99994044343171107</v>
      </c>
      <c r="C1899" s="3">
        <f t="shared" si="118"/>
        <v>4441335.473546288</v>
      </c>
      <c r="D1899" s="3">
        <f t="shared" si="119"/>
        <v>0.49739965982735157</v>
      </c>
      <c r="E1899" s="8">
        <f t="shared" si="116"/>
        <v>270.42857142857144</v>
      </c>
    </row>
    <row r="1900" spans="1:5" ht="18.5" x14ac:dyDescent="0.45">
      <c r="A1900" s="3">
        <v>1894</v>
      </c>
      <c r="B1900" s="9">
        <f t="shared" si="117"/>
        <v>0.99994055516111724</v>
      </c>
      <c r="C1900" s="3">
        <f t="shared" si="118"/>
        <v>4441335.9698036183</v>
      </c>
      <c r="D1900" s="3">
        <f t="shared" si="119"/>
        <v>0.49625733029097319</v>
      </c>
      <c r="E1900" s="8">
        <f t="shared" si="116"/>
        <v>270.57142857142856</v>
      </c>
    </row>
    <row r="1901" spans="1:5" ht="18.5" x14ac:dyDescent="0.45">
      <c r="A1901" s="3">
        <v>1895</v>
      </c>
      <c r="B1901" s="9">
        <f t="shared" si="117"/>
        <v>0.99994066663403713</v>
      </c>
      <c r="C1901" s="3">
        <f t="shared" si="118"/>
        <v>4441336.464921739</v>
      </c>
      <c r="D1901" s="3">
        <f t="shared" si="119"/>
        <v>0.49511812068521976</v>
      </c>
      <c r="E1901" s="8">
        <f t="shared" si="116"/>
        <v>270.71428571428572</v>
      </c>
    </row>
    <row r="1902" spans="1:5" ht="18.5" x14ac:dyDescent="0.45">
      <c r="A1902" s="3">
        <v>1896</v>
      </c>
      <c r="B1902" s="9">
        <f t="shared" si="117"/>
        <v>0.99994077785117086</v>
      </c>
      <c r="C1902" s="3">
        <f t="shared" si="118"/>
        <v>4441336.9589037606</v>
      </c>
      <c r="D1902" s="3">
        <f t="shared" si="119"/>
        <v>0.49398202169686556</v>
      </c>
      <c r="E1902" s="8">
        <f t="shared" si="116"/>
        <v>270.85714285714283</v>
      </c>
    </row>
    <row r="1903" spans="1:5" ht="18.5" x14ac:dyDescent="0.45">
      <c r="A1903" s="3">
        <v>1897</v>
      </c>
      <c r="B1903" s="9">
        <f t="shared" si="117"/>
        <v>0.99994088881321652</v>
      </c>
      <c r="C1903" s="3">
        <f t="shared" si="118"/>
        <v>4441337.4517527828</v>
      </c>
      <c r="D1903" s="3">
        <f t="shared" si="119"/>
        <v>0.49284902215003967</v>
      </c>
      <c r="E1903" s="8">
        <f t="shared" si="116"/>
        <v>271</v>
      </c>
    </row>
    <row r="1904" spans="1:5" ht="18.5" x14ac:dyDescent="0.45">
      <c r="A1904" s="3">
        <v>1898</v>
      </c>
      <c r="B1904" s="9">
        <f t="shared" si="117"/>
        <v>0.99994099952086957</v>
      </c>
      <c r="C1904" s="3">
        <f t="shared" si="118"/>
        <v>4441337.9434718946</v>
      </c>
      <c r="D1904" s="3">
        <f t="shared" si="119"/>
        <v>0.49171911180019379</v>
      </c>
      <c r="E1904" s="8">
        <f t="shared" si="116"/>
        <v>271.14285714285717</v>
      </c>
    </row>
    <row r="1905" spans="1:5" ht="18.5" x14ac:dyDescent="0.45">
      <c r="A1905" s="3">
        <v>1899</v>
      </c>
      <c r="B1905" s="9">
        <f t="shared" si="117"/>
        <v>0.99994110997482377</v>
      </c>
      <c r="C1905" s="3">
        <f t="shared" si="118"/>
        <v>4441338.4340641769</v>
      </c>
      <c r="D1905" s="3">
        <f t="shared" si="119"/>
        <v>0.49059228226542473</v>
      </c>
      <c r="E1905" s="8">
        <f t="shared" si="116"/>
        <v>271.28571428571428</v>
      </c>
    </row>
    <row r="1906" spans="1:5" ht="18.5" x14ac:dyDescent="0.45">
      <c r="A1906" s="3">
        <v>1900</v>
      </c>
      <c r="B1906" s="9">
        <f t="shared" si="117"/>
        <v>0.99994122017577025</v>
      </c>
      <c r="C1906" s="3">
        <f t="shared" si="118"/>
        <v>4441338.9235327011</v>
      </c>
      <c r="D1906" s="3">
        <f t="shared" si="119"/>
        <v>0.48946852423250675</v>
      </c>
      <c r="E1906" s="8">
        <f t="shared" si="116"/>
        <v>271.42857142857144</v>
      </c>
    </row>
    <row r="1907" spans="1:5" ht="18.5" x14ac:dyDescent="0.45">
      <c r="A1907" s="3">
        <v>1901</v>
      </c>
      <c r="B1907" s="9">
        <f t="shared" si="117"/>
        <v>0.99994133012439823</v>
      </c>
      <c r="C1907" s="3">
        <f t="shared" si="118"/>
        <v>4441339.4118805276</v>
      </c>
      <c r="D1907" s="3">
        <f t="shared" si="119"/>
        <v>0.48834782652556896</v>
      </c>
      <c r="E1907" s="8">
        <f t="shared" si="116"/>
        <v>271.57142857142856</v>
      </c>
    </row>
    <row r="1908" spans="1:5" ht="18.5" x14ac:dyDescent="0.45">
      <c r="A1908" s="3">
        <v>1902</v>
      </c>
      <c r="B1908" s="9">
        <f t="shared" si="117"/>
        <v>0.99994143982139461</v>
      </c>
      <c r="C1908" s="3">
        <f t="shared" si="118"/>
        <v>4441339.8991107065</v>
      </c>
      <c r="D1908" s="3">
        <f t="shared" si="119"/>
        <v>0.48723017890006304</v>
      </c>
      <c r="E1908" s="8">
        <f t="shared" si="116"/>
        <v>271.71428571428572</v>
      </c>
    </row>
    <row r="1909" spans="1:5" ht="18.5" x14ac:dyDescent="0.45">
      <c r="A1909" s="3">
        <v>1903</v>
      </c>
      <c r="B1909" s="9">
        <f t="shared" si="117"/>
        <v>0.99994154926744427</v>
      </c>
      <c r="C1909" s="3">
        <f t="shared" si="118"/>
        <v>4441340.3852262804</v>
      </c>
      <c r="D1909" s="3">
        <f t="shared" si="119"/>
        <v>0.48611557390540838</v>
      </c>
      <c r="E1909" s="8">
        <f t="shared" si="116"/>
        <v>271.85714285714283</v>
      </c>
    </row>
    <row r="1910" spans="1:5" ht="18.5" x14ac:dyDescent="0.45">
      <c r="A1910" s="3">
        <v>1904</v>
      </c>
      <c r="B1910" s="9">
        <f t="shared" si="117"/>
        <v>0.99994165846322969</v>
      </c>
      <c r="C1910" s="3">
        <f t="shared" si="118"/>
        <v>4441340.8702302808</v>
      </c>
      <c r="D1910" s="3">
        <f t="shared" si="119"/>
        <v>0.4850040003657341</v>
      </c>
      <c r="E1910" s="8">
        <f t="shared" si="116"/>
        <v>272</v>
      </c>
    </row>
    <row r="1911" spans="1:5" ht="18.5" x14ac:dyDescent="0.45">
      <c r="A1911" s="3">
        <v>1905</v>
      </c>
      <c r="B1911" s="9">
        <f t="shared" si="117"/>
        <v>0.9999417674094313</v>
      </c>
      <c r="C1911" s="3">
        <f t="shared" si="118"/>
        <v>4441341.3541257298</v>
      </c>
      <c r="D1911" s="3">
        <f t="shared" si="119"/>
        <v>0.48389544896781445</v>
      </c>
      <c r="E1911" s="8">
        <f t="shared" si="116"/>
        <v>272.14285714285717</v>
      </c>
    </row>
    <row r="1912" spans="1:5" ht="18.5" x14ac:dyDescent="0.45">
      <c r="A1912" s="3">
        <v>1906</v>
      </c>
      <c r="B1912" s="9">
        <f t="shared" si="117"/>
        <v>0.99994187610672747</v>
      </c>
      <c r="C1912" s="3">
        <f t="shared" si="118"/>
        <v>4441341.8369156411</v>
      </c>
      <c r="D1912" s="3">
        <f t="shared" si="119"/>
        <v>0.48278991132974625</v>
      </c>
      <c r="E1912" s="8">
        <f t="shared" si="116"/>
        <v>272.28571428571428</v>
      </c>
    </row>
    <row r="1913" spans="1:5" ht="18.5" x14ac:dyDescent="0.45">
      <c r="A1913" s="3">
        <v>1907</v>
      </c>
      <c r="B1913" s="9">
        <f t="shared" si="117"/>
        <v>0.99994198455579431</v>
      </c>
      <c r="C1913" s="3">
        <f t="shared" si="118"/>
        <v>4441342.3186030164</v>
      </c>
      <c r="D1913" s="3">
        <f t="shared" si="119"/>
        <v>0.48168737534433603</v>
      </c>
      <c r="E1913" s="8">
        <f t="shared" si="116"/>
        <v>272.42857142857144</v>
      </c>
    </row>
    <row r="1914" spans="1:5" ht="18.5" x14ac:dyDescent="0.45">
      <c r="A1914" s="3">
        <v>1908</v>
      </c>
      <c r="B1914" s="9">
        <f t="shared" si="117"/>
        <v>0.99994209275730583</v>
      </c>
      <c r="C1914" s="3">
        <f t="shared" si="118"/>
        <v>4441342.79919085</v>
      </c>
      <c r="D1914" s="3">
        <f t="shared" si="119"/>
        <v>0.48058783356100321</v>
      </c>
      <c r="E1914" s="8">
        <f t="shared" si="116"/>
        <v>272.57142857142856</v>
      </c>
    </row>
    <row r="1915" spans="1:5" ht="18.5" x14ac:dyDescent="0.45">
      <c r="A1915" s="3">
        <v>1909</v>
      </c>
      <c r="B1915" s="9">
        <f t="shared" si="117"/>
        <v>0.99994220071193385</v>
      </c>
      <c r="C1915" s="3">
        <f t="shared" si="118"/>
        <v>4441343.2786821257</v>
      </c>
      <c r="D1915" s="3">
        <f t="shared" si="119"/>
        <v>0.47949127573519945</v>
      </c>
      <c r="E1915" s="8">
        <f t="shared" si="116"/>
        <v>272.71428571428572</v>
      </c>
    </row>
    <row r="1916" spans="1:5" ht="18.5" x14ac:dyDescent="0.45">
      <c r="A1916" s="3">
        <v>1910</v>
      </c>
      <c r="B1916" s="9">
        <f t="shared" si="117"/>
        <v>0.99994230842034815</v>
      </c>
      <c r="C1916" s="3">
        <f t="shared" si="118"/>
        <v>4441343.7570798183</v>
      </c>
      <c r="D1916" s="3">
        <f t="shared" si="119"/>
        <v>0.47839769255369902</v>
      </c>
      <c r="E1916" s="8">
        <f t="shared" si="116"/>
        <v>272.85714285714283</v>
      </c>
    </row>
    <row r="1917" spans="1:5" ht="18.5" x14ac:dyDescent="0.45">
      <c r="A1917" s="3">
        <v>1911</v>
      </c>
      <c r="B1917" s="9">
        <f t="shared" si="117"/>
        <v>0.99994241588321642</v>
      </c>
      <c r="C1917" s="3">
        <f t="shared" si="118"/>
        <v>4441344.2343868939</v>
      </c>
      <c r="D1917" s="3">
        <f t="shared" si="119"/>
        <v>0.47730707563459873</v>
      </c>
      <c r="E1917" s="8">
        <f t="shared" si="116"/>
        <v>273</v>
      </c>
    </row>
    <row r="1918" spans="1:5" ht="18.5" x14ac:dyDescent="0.45">
      <c r="A1918" s="3">
        <v>1912</v>
      </c>
      <c r="B1918" s="9">
        <f t="shared" si="117"/>
        <v>0.99994252310120424</v>
      </c>
      <c r="C1918" s="3">
        <f t="shared" si="118"/>
        <v>4441344.7106063087</v>
      </c>
      <c r="D1918" s="3">
        <f t="shared" si="119"/>
        <v>0.47621941473335028</v>
      </c>
      <c r="E1918" s="8">
        <f t="shared" si="116"/>
        <v>273.14285714285717</v>
      </c>
    </row>
    <row r="1919" spans="1:5" ht="18.5" x14ac:dyDescent="0.45">
      <c r="A1919" s="3">
        <v>1913</v>
      </c>
      <c r="B1919" s="9">
        <f t="shared" si="117"/>
        <v>0.99994263007497497</v>
      </c>
      <c r="C1919" s="3">
        <f t="shared" si="118"/>
        <v>4441345.1857410092</v>
      </c>
      <c r="D1919" s="3">
        <f t="shared" si="119"/>
        <v>0.47513470053672791</v>
      </c>
      <c r="E1919" s="8">
        <f t="shared" si="116"/>
        <v>273.28571428571428</v>
      </c>
    </row>
    <row r="1920" spans="1:5" ht="18.5" x14ac:dyDescent="0.45">
      <c r="A1920" s="3">
        <v>1914</v>
      </c>
      <c r="B1920" s="9">
        <f t="shared" si="117"/>
        <v>0.99994273680518997</v>
      </c>
      <c r="C1920" s="3">
        <f t="shared" si="118"/>
        <v>4441345.659793932</v>
      </c>
      <c r="D1920" s="3">
        <f t="shared" si="119"/>
        <v>0.4740529228001833</v>
      </c>
      <c r="E1920" s="8">
        <f t="shared" si="116"/>
        <v>273.42857142857144</v>
      </c>
    </row>
    <row r="1921" spans="1:5" ht="18.5" x14ac:dyDescent="0.45">
      <c r="A1921" s="3">
        <v>1915</v>
      </c>
      <c r="B1921" s="9">
        <f t="shared" si="117"/>
        <v>0.99994284329250849</v>
      </c>
      <c r="C1921" s="3">
        <f t="shared" si="118"/>
        <v>4441346.1327680061</v>
      </c>
      <c r="D1921" s="3">
        <f t="shared" si="119"/>
        <v>0.47297407407313585</v>
      </c>
      <c r="E1921" s="8">
        <f t="shared" si="116"/>
        <v>273.57142857142856</v>
      </c>
    </row>
    <row r="1922" spans="1:5" ht="18.5" x14ac:dyDescent="0.45">
      <c r="A1922" s="3">
        <v>1916</v>
      </c>
      <c r="B1922" s="9">
        <f t="shared" si="117"/>
        <v>0.99994294953758778</v>
      </c>
      <c r="C1922" s="3">
        <f t="shared" si="118"/>
        <v>4441346.6046661502</v>
      </c>
      <c r="D1922" s="3">
        <f t="shared" si="119"/>
        <v>0.47189814411103725</v>
      </c>
      <c r="E1922" s="8">
        <f t="shared" si="116"/>
        <v>273.71428571428572</v>
      </c>
    </row>
    <row r="1923" spans="1:5" ht="18.5" x14ac:dyDescent="0.45">
      <c r="A1923" s="3">
        <v>1917</v>
      </c>
      <c r="B1923" s="9">
        <f t="shared" si="117"/>
        <v>0.99994305554108287</v>
      </c>
      <c r="C1923" s="3">
        <f t="shared" si="118"/>
        <v>4441347.0754912738</v>
      </c>
      <c r="D1923" s="3">
        <f t="shared" si="119"/>
        <v>0.47082512360066175</v>
      </c>
      <c r="E1923" s="8">
        <f t="shared" si="116"/>
        <v>273.85714285714283</v>
      </c>
    </row>
    <row r="1924" spans="1:5" ht="18.5" x14ac:dyDescent="0.45">
      <c r="A1924" s="3">
        <v>1918</v>
      </c>
      <c r="B1924" s="9">
        <f t="shared" si="117"/>
        <v>0.99994316130364691</v>
      </c>
      <c r="C1924" s="3">
        <f t="shared" si="118"/>
        <v>4441347.5452462779</v>
      </c>
      <c r="D1924" s="3">
        <f t="shared" si="119"/>
        <v>0.46975500416010618</v>
      </c>
      <c r="E1924" s="8">
        <f t="shared" si="116"/>
        <v>274</v>
      </c>
    </row>
    <row r="1925" spans="1:5" ht="18.5" x14ac:dyDescent="0.45">
      <c r="A1925" s="3">
        <v>1919</v>
      </c>
      <c r="B1925" s="9">
        <f t="shared" si="117"/>
        <v>0.99994326682593093</v>
      </c>
      <c r="C1925" s="3">
        <f t="shared" si="118"/>
        <v>4441348.0139340544</v>
      </c>
      <c r="D1925" s="3">
        <f t="shared" si="119"/>
        <v>0.46868777647614479</v>
      </c>
      <c r="E1925" s="8">
        <f t="shared" si="116"/>
        <v>274.14285714285717</v>
      </c>
    </row>
    <row r="1926" spans="1:5" ht="18.5" x14ac:dyDescent="0.45">
      <c r="A1926" s="3">
        <v>1920</v>
      </c>
      <c r="B1926" s="9">
        <f t="shared" si="117"/>
        <v>0.99994337210858386</v>
      </c>
      <c r="C1926" s="3">
        <f t="shared" si="118"/>
        <v>4441348.4815574856</v>
      </c>
      <c r="D1926" s="3">
        <f t="shared" si="119"/>
        <v>0.46762343123555183</v>
      </c>
      <c r="E1926" s="8">
        <f t="shared" si="116"/>
        <v>274.28571428571428</v>
      </c>
    </row>
    <row r="1927" spans="1:5" ht="18.5" x14ac:dyDescent="0.45">
      <c r="A1927" s="3">
        <v>1921</v>
      </c>
      <c r="B1927" s="9">
        <f t="shared" si="117"/>
        <v>0.99994347715225262</v>
      </c>
      <c r="C1927" s="3">
        <f t="shared" si="118"/>
        <v>4441348.9481194457</v>
      </c>
      <c r="D1927" s="3">
        <f t="shared" si="119"/>
        <v>0.46656196005642414</v>
      </c>
      <c r="E1927" s="8">
        <f t="shared" ref="E1927:E1990" si="120">A1927/7</f>
        <v>274.42857142857144</v>
      </c>
    </row>
    <row r="1928" spans="1:5" ht="18.5" x14ac:dyDescent="0.45">
      <c r="A1928" s="3">
        <v>1922</v>
      </c>
      <c r="B1928" s="9">
        <f t="shared" ref="B1928:B1991" si="121">LOGNORMDIST(A1928,$A$3,$B$3)</f>
        <v>0.99994358195758215</v>
      </c>
      <c r="C1928" s="3">
        <f t="shared" ref="C1928:C1991" si="122">$E$3*B1928</f>
        <v>4441349.4136227965</v>
      </c>
      <c r="D1928" s="3">
        <f t="shared" ref="D1928:D1991" si="123">C1928-C1927</f>
        <v>0.46550335083156824</v>
      </c>
      <c r="E1928" s="8">
        <f t="shared" si="120"/>
        <v>274.57142857142856</v>
      </c>
    </row>
    <row r="1929" spans="1:5" ht="18.5" x14ac:dyDescent="0.45">
      <c r="A1929" s="3">
        <v>1923</v>
      </c>
      <c r="B1929" s="9">
        <f t="shared" si="121"/>
        <v>0.99994368652521526</v>
      </c>
      <c r="C1929" s="3">
        <f t="shared" si="122"/>
        <v>4441349.8780703964</v>
      </c>
      <c r="D1929" s="3">
        <f t="shared" si="123"/>
        <v>0.46444759983569384</v>
      </c>
      <c r="E1929" s="8">
        <f t="shared" si="120"/>
        <v>274.71428571428572</v>
      </c>
    </row>
    <row r="1930" spans="1:5" ht="18.5" x14ac:dyDescent="0.45">
      <c r="A1930" s="3">
        <v>1924</v>
      </c>
      <c r="B1930" s="9">
        <f t="shared" si="121"/>
        <v>0.99994379085579277</v>
      </c>
      <c r="C1930" s="3">
        <f t="shared" si="122"/>
        <v>4441350.3414650895</v>
      </c>
      <c r="D1930" s="3">
        <f t="shared" si="123"/>
        <v>0.46339469309896231</v>
      </c>
      <c r="E1930" s="8">
        <f t="shared" si="120"/>
        <v>274.85714285714283</v>
      </c>
    </row>
    <row r="1931" spans="1:5" ht="18.5" x14ac:dyDescent="0.45">
      <c r="A1931" s="3">
        <v>1925</v>
      </c>
      <c r="B1931" s="9">
        <f t="shared" si="121"/>
        <v>0.99994389494995373</v>
      </c>
      <c r="C1931" s="3">
        <f t="shared" si="122"/>
        <v>4441350.8038097145</v>
      </c>
      <c r="D1931" s="3">
        <f t="shared" si="123"/>
        <v>0.46234462503343821</v>
      </c>
      <c r="E1931" s="8">
        <f t="shared" si="120"/>
        <v>275</v>
      </c>
    </row>
    <row r="1932" spans="1:5" ht="18.5" x14ac:dyDescent="0.45">
      <c r="A1932" s="3">
        <v>1926</v>
      </c>
      <c r="B1932" s="9">
        <f t="shared" si="121"/>
        <v>0.99994399880833473</v>
      </c>
      <c r="C1932" s="3">
        <f t="shared" si="122"/>
        <v>4441351.2651070999</v>
      </c>
      <c r="D1932" s="3">
        <f t="shared" si="123"/>
        <v>0.46129738539457321</v>
      </c>
      <c r="E1932" s="8">
        <f t="shared" si="120"/>
        <v>275.14285714285717</v>
      </c>
    </row>
    <row r="1933" spans="1:5" ht="18.5" x14ac:dyDescent="0.45">
      <c r="A1933" s="3">
        <v>1927</v>
      </c>
      <c r="B1933" s="9">
        <f t="shared" si="121"/>
        <v>0.99994410243157084</v>
      </c>
      <c r="C1933" s="3">
        <f t="shared" si="122"/>
        <v>4441351.7253600648</v>
      </c>
      <c r="D1933" s="3">
        <f t="shared" si="123"/>
        <v>0.46025296486914158</v>
      </c>
      <c r="E1933" s="8">
        <f t="shared" si="120"/>
        <v>275.28571428571428</v>
      </c>
    </row>
    <row r="1934" spans="1:5" ht="18.5" x14ac:dyDescent="0.45">
      <c r="A1934" s="3">
        <v>1928</v>
      </c>
      <c r="B1934" s="9">
        <f t="shared" si="121"/>
        <v>0.99994420582029464</v>
      </c>
      <c r="C1934" s="3">
        <f t="shared" si="122"/>
        <v>4441352.1845714208</v>
      </c>
      <c r="D1934" s="3">
        <f t="shared" si="123"/>
        <v>0.45921135600656271</v>
      </c>
      <c r="E1934" s="8">
        <f t="shared" si="120"/>
        <v>275.42857142857144</v>
      </c>
    </row>
    <row r="1935" spans="1:5" ht="18.5" x14ac:dyDescent="0.45">
      <c r="A1935" s="3">
        <v>1929</v>
      </c>
      <c r="B1935" s="9">
        <f t="shared" si="121"/>
        <v>0.99994430897513731</v>
      </c>
      <c r="C1935" s="3">
        <f t="shared" si="122"/>
        <v>4441352.6427439703</v>
      </c>
      <c r="D1935" s="3">
        <f t="shared" si="123"/>
        <v>0.45817254949361086</v>
      </c>
      <c r="E1935" s="8">
        <f t="shared" si="120"/>
        <v>275.57142857142856</v>
      </c>
    </row>
    <row r="1936" spans="1:5" ht="18.5" x14ac:dyDescent="0.45">
      <c r="A1936" s="3">
        <v>1930</v>
      </c>
      <c r="B1936" s="9">
        <f t="shared" si="121"/>
        <v>0.99994441189672767</v>
      </c>
      <c r="C1936" s="3">
        <f t="shared" si="122"/>
        <v>4441353.0998805054</v>
      </c>
      <c r="D1936" s="3">
        <f t="shared" si="123"/>
        <v>0.45713653508573771</v>
      </c>
      <c r="E1936" s="8">
        <f t="shared" si="120"/>
        <v>275.71428571428572</v>
      </c>
    </row>
    <row r="1937" spans="1:5" ht="18.5" x14ac:dyDescent="0.45">
      <c r="A1937" s="3">
        <v>1931</v>
      </c>
      <c r="B1937" s="9">
        <f t="shared" si="121"/>
        <v>0.99994451458569256</v>
      </c>
      <c r="C1937" s="3">
        <f t="shared" si="122"/>
        <v>4441353.5559838116</v>
      </c>
      <c r="D1937" s="3">
        <f t="shared" si="123"/>
        <v>0.45610330626368523</v>
      </c>
      <c r="E1937" s="8">
        <f t="shared" si="120"/>
        <v>275.85714285714283</v>
      </c>
    </row>
    <row r="1938" spans="1:5" ht="18.5" x14ac:dyDescent="0.45">
      <c r="A1938" s="3">
        <v>1932</v>
      </c>
      <c r="B1938" s="9">
        <f t="shared" si="121"/>
        <v>0.99994461704265714</v>
      </c>
      <c r="C1938" s="3">
        <f t="shared" si="122"/>
        <v>4441354.0110566663</v>
      </c>
      <c r="D1938" s="3">
        <f t="shared" si="123"/>
        <v>0.45507285464555025</v>
      </c>
      <c r="E1938" s="8">
        <f t="shared" si="120"/>
        <v>276</v>
      </c>
    </row>
    <row r="1939" spans="1:5" ht="18.5" x14ac:dyDescent="0.45">
      <c r="A1939" s="3">
        <v>1933</v>
      </c>
      <c r="B1939" s="9">
        <f t="shared" si="121"/>
        <v>0.99994471926824424</v>
      </c>
      <c r="C1939" s="3">
        <f t="shared" si="122"/>
        <v>4441354.4651018335</v>
      </c>
      <c r="D1939" s="3">
        <f t="shared" si="123"/>
        <v>0.45404516719281673</v>
      </c>
      <c r="E1939" s="8">
        <f t="shared" si="120"/>
        <v>276.14285714285717</v>
      </c>
    </row>
    <row r="1940" spans="1:5" ht="18.5" x14ac:dyDescent="0.45">
      <c r="A1940" s="3">
        <v>1934</v>
      </c>
      <c r="B1940" s="9">
        <f t="shared" si="121"/>
        <v>0.99994482126307505</v>
      </c>
      <c r="C1940" s="3">
        <f t="shared" si="122"/>
        <v>4441354.9181220746</v>
      </c>
      <c r="D1940" s="3">
        <f t="shared" si="123"/>
        <v>0.45302024111151695</v>
      </c>
      <c r="E1940" s="8">
        <f t="shared" si="120"/>
        <v>276.28571428571428</v>
      </c>
    </row>
    <row r="1941" spans="1:5" ht="18.5" x14ac:dyDescent="0.45">
      <c r="A1941" s="3">
        <v>1935</v>
      </c>
      <c r="B1941" s="9">
        <f t="shared" si="121"/>
        <v>0.99994492302776883</v>
      </c>
      <c r="C1941" s="3">
        <f t="shared" si="122"/>
        <v>4441355.3701201379</v>
      </c>
      <c r="D1941" s="3">
        <f t="shared" si="123"/>
        <v>0.45199806336313486</v>
      </c>
      <c r="E1941" s="8">
        <f t="shared" si="120"/>
        <v>276.42857142857144</v>
      </c>
    </row>
    <row r="1942" spans="1:5" ht="18.5" x14ac:dyDescent="0.45">
      <c r="A1942" s="3">
        <v>1936</v>
      </c>
      <c r="B1942" s="9">
        <f t="shared" si="121"/>
        <v>0.99994502456294254</v>
      </c>
      <c r="C1942" s="3">
        <f t="shared" si="122"/>
        <v>4441355.8210987654</v>
      </c>
      <c r="D1942" s="3">
        <f t="shared" si="123"/>
        <v>0.45097862742841244</v>
      </c>
      <c r="E1942" s="8">
        <f t="shared" si="120"/>
        <v>276.57142857142856</v>
      </c>
    </row>
    <row r="1943" spans="1:5" ht="18.5" x14ac:dyDescent="0.45">
      <c r="A1943" s="3">
        <v>1937</v>
      </c>
      <c r="B1943" s="9">
        <f t="shared" si="121"/>
        <v>0.99994512586921158</v>
      </c>
      <c r="C1943" s="3">
        <f t="shared" si="122"/>
        <v>4441356.2710606903</v>
      </c>
      <c r="D1943" s="3">
        <f t="shared" si="123"/>
        <v>0.44996192492544651</v>
      </c>
      <c r="E1943" s="8">
        <f t="shared" si="120"/>
        <v>276.71428571428572</v>
      </c>
    </row>
    <row r="1944" spans="1:5" ht="18.5" x14ac:dyDescent="0.45">
      <c r="A1944" s="3">
        <v>1938</v>
      </c>
      <c r="B1944" s="9">
        <f t="shared" si="121"/>
        <v>0.99994522694718946</v>
      </c>
      <c r="C1944" s="3">
        <f t="shared" si="122"/>
        <v>4441356.7200086368</v>
      </c>
      <c r="D1944" s="3">
        <f t="shared" si="123"/>
        <v>0.44894794654101133</v>
      </c>
      <c r="E1944" s="8">
        <f t="shared" si="120"/>
        <v>276.85714285714283</v>
      </c>
    </row>
    <row r="1945" spans="1:5" ht="18.5" x14ac:dyDescent="0.45">
      <c r="A1945" s="3">
        <v>1939</v>
      </c>
      <c r="B1945" s="9">
        <f t="shared" si="121"/>
        <v>0.99994532779748746</v>
      </c>
      <c r="C1945" s="3">
        <f t="shared" si="122"/>
        <v>4441357.1679453207</v>
      </c>
      <c r="D1945" s="3">
        <f t="shared" si="123"/>
        <v>0.44793668389320374</v>
      </c>
      <c r="E1945" s="8">
        <f t="shared" si="120"/>
        <v>277</v>
      </c>
    </row>
    <row r="1946" spans="1:5" ht="18.5" x14ac:dyDescent="0.45">
      <c r="A1946" s="3">
        <v>1940</v>
      </c>
      <c r="B1946" s="9">
        <f t="shared" si="121"/>
        <v>0.99994542842071521</v>
      </c>
      <c r="C1946" s="3">
        <f t="shared" si="122"/>
        <v>4441357.6148734484</v>
      </c>
      <c r="D1946" s="3">
        <f t="shared" si="123"/>
        <v>0.44692812766879797</v>
      </c>
      <c r="E1946" s="8">
        <f t="shared" si="120"/>
        <v>277.14285714285717</v>
      </c>
    </row>
    <row r="1947" spans="1:5" ht="18.5" x14ac:dyDescent="0.45">
      <c r="A1947" s="3">
        <v>1941</v>
      </c>
      <c r="B1947" s="9">
        <f t="shared" si="121"/>
        <v>0.99994552881748033</v>
      </c>
      <c r="C1947" s="3">
        <f t="shared" si="122"/>
        <v>4441358.0607957207</v>
      </c>
      <c r="D1947" s="3">
        <f t="shared" si="123"/>
        <v>0.44592227227985859</v>
      </c>
      <c r="E1947" s="8">
        <f t="shared" si="120"/>
        <v>277.28571428571428</v>
      </c>
    </row>
    <row r="1948" spans="1:5" ht="18.5" x14ac:dyDescent="0.45">
      <c r="A1948" s="3">
        <v>1942</v>
      </c>
      <c r="B1948" s="9">
        <f t="shared" si="121"/>
        <v>0.99994562898838868</v>
      </c>
      <c r="C1948" s="3">
        <f t="shared" si="122"/>
        <v>4441358.5057148272</v>
      </c>
      <c r="D1948" s="3">
        <f t="shared" si="123"/>
        <v>0.4449191065505147</v>
      </c>
      <c r="E1948" s="8">
        <f t="shared" si="120"/>
        <v>277.42857142857144</v>
      </c>
    </row>
    <row r="1949" spans="1:5" ht="18.5" x14ac:dyDescent="0.45">
      <c r="A1949" s="3">
        <v>1943</v>
      </c>
      <c r="B1949" s="9">
        <f t="shared" si="121"/>
        <v>0.9999457289340441</v>
      </c>
      <c r="C1949" s="3">
        <f t="shared" si="122"/>
        <v>4441358.9496334502</v>
      </c>
      <c r="D1949" s="3">
        <f t="shared" si="123"/>
        <v>0.4439186230301857</v>
      </c>
      <c r="E1949" s="8">
        <f t="shared" si="120"/>
        <v>277.57142857142856</v>
      </c>
    </row>
    <row r="1950" spans="1:5" ht="18.5" x14ac:dyDescent="0.45">
      <c r="A1950" s="3">
        <v>1944</v>
      </c>
      <c r="B1950" s="9">
        <f t="shared" si="121"/>
        <v>0.99994582865504855</v>
      </c>
      <c r="C1950" s="3">
        <f t="shared" si="122"/>
        <v>4441359.3925542636</v>
      </c>
      <c r="D1950" s="3">
        <f t="shared" si="123"/>
        <v>0.44292081333696842</v>
      </c>
      <c r="E1950" s="8">
        <f t="shared" si="120"/>
        <v>277.71428571428572</v>
      </c>
    </row>
    <row r="1951" spans="1:5" ht="18.5" x14ac:dyDescent="0.45">
      <c r="A1951" s="3">
        <v>1945</v>
      </c>
      <c r="B1951" s="9">
        <f t="shared" si="121"/>
        <v>0.99994592815200223</v>
      </c>
      <c r="C1951" s="3">
        <f t="shared" si="122"/>
        <v>4441359.8344799327</v>
      </c>
      <c r="D1951" s="3">
        <f t="shared" si="123"/>
        <v>0.44192566908895969</v>
      </c>
      <c r="E1951" s="8">
        <f t="shared" si="120"/>
        <v>277.85714285714283</v>
      </c>
    </row>
    <row r="1952" spans="1:5" ht="18.5" x14ac:dyDescent="0.45">
      <c r="A1952" s="3">
        <v>1946</v>
      </c>
      <c r="B1952" s="9">
        <f t="shared" si="121"/>
        <v>0.99994602742550343</v>
      </c>
      <c r="C1952" s="3">
        <f t="shared" si="122"/>
        <v>4441360.2754131164</v>
      </c>
      <c r="D1952" s="3">
        <f t="shared" si="123"/>
        <v>0.44093318376690149</v>
      </c>
      <c r="E1952" s="8">
        <f t="shared" si="120"/>
        <v>278</v>
      </c>
    </row>
    <row r="1953" spans="1:5" ht="18.5" x14ac:dyDescent="0.45">
      <c r="A1953" s="3">
        <v>1947</v>
      </c>
      <c r="B1953" s="9">
        <f t="shared" si="121"/>
        <v>0.99994612647614844</v>
      </c>
      <c r="C1953" s="3">
        <f t="shared" si="122"/>
        <v>4441360.7153564608</v>
      </c>
      <c r="D1953" s="3">
        <f t="shared" si="123"/>
        <v>0.43994334433227777</v>
      </c>
      <c r="E1953" s="8">
        <f t="shared" si="120"/>
        <v>278.14285714285717</v>
      </c>
    </row>
    <row r="1954" spans="1:5" ht="18.5" x14ac:dyDescent="0.45">
      <c r="A1954" s="3">
        <v>1948</v>
      </c>
      <c r="B1954" s="9">
        <f t="shared" si="121"/>
        <v>0.99994622530453192</v>
      </c>
      <c r="C1954" s="3">
        <f t="shared" si="122"/>
        <v>4441361.1543126088</v>
      </c>
      <c r="D1954" s="3">
        <f t="shared" si="123"/>
        <v>0.43895614799112082</v>
      </c>
      <c r="E1954" s="8">
        <f t="shared" si="120"/>
        <v>278.28571428571428</v>
      </c>
    </row>
    <row r="1955" spans="1:5" ht="18.5" x14ac:dyDescent="0.45">
      <c r="A1955" s="3">
        <v>1949</v>
      </c>
      <c r="B1955" s="9">
        <f t="shared" si="121"/>
        <v>0.9999463239112466</v>
      </c>
      <c r="C1955" s="3">
        <f t="shared" si="122"/>
        <v>4441361.5922841933</v>
      </c>
      <c r="D1955" s="3">
        <f t="shared" si="123"/>
        <v>0.43797158449888229</v>
      </c>
      <c r="E1955" s="8">
        <f t="shared" si="120"/>
        <v>278.42857142857144</v>
      </c>
    </row>
    <row r="1956" spans="1:5" ht="18.5" x14ac:dyDescent="0.45">
      <c r="A1956" s="3">
        <v>1950</v>
      </c>
      <c r="B1956" s="9">
        <f t="shared" si="121"/>
        <v>0.99994642229688335</v>
      </c>
      <c r="C1956" s="3">
        <f t="shared" si="122"/>
        <v>4441362.0292738369</v>
      </c>
      <c r="D1956" s="3">
        <f t="shared" si="123"/>
        <v>0.43698964361101389</v>
      </c>
      <c r="E1956" s="8">
        <f t="shared" si="120"/>
        <v>278.57142857142856</v>
      </c>
    </row>
    <row r="1957" spans="1:5" ht="18.5" x14ac:dyDescent="0.45">
      <c r="A1957" s="3">
        <v>1951</v>
      </c>
      <c r="B1957" s="9">
        <f t="shared" si="121"/>
        <v>0.99994652046203125</v>
      </c>
      <c r="C1957" s="3">
        <f t="shared" si="122"/>
        <v>4441362.4652841575</v>
      </c>
      <c r="D1957" s="3">
        <f t="shared" si="123"/>
        <v>0.43601032067090273</v>
      </c>
      <c r="E1957" s="8">
        <f t="shared" si="120"/>
        <v>278.71428571428572</v>
      </c>
    </row>
    <row r="1958" spans="1:5" ht="18.5" x14ac:dyDescent="0.45">
      <c r="A1958" s="3">
        <v>1952</v>
      </c>
      <c r="B1958" s="9">
        <f t="shared" si="121"/>
        <v>0.99994661840727739</v>
      </c>
      <c r="C1958" s="3">
        <f t="shared" si="122"/>
        <v>4441362.900317763</v>
      </c>
      <c r="D1958" s="3">
        <f t="shared" si="123"/>
        <v>0.43503360543400049</v>
      </c>
      <c r="E1958" s="8">
        <f t="shared" si="120"/>
        <v>278.85714285714283</v>
      </c>
    </row>
    <row r="1959" spans="1:5" ht="18.5" x14ac:dyDescent="0.45">
      <c r="A1959" s="3">
        <v>1953</v>
      </c>
      <c r="B1959" s="9">
        <f t="shared" si="121"/>
        <v>0.9999467161332074</v>
      </c>
      <c r="C1959" s="3">
        <f t="shared" si="122"/>
        <v>4441363.3343772544</v>
      </c>
      <c r="D1959" s="3">
        <f t="shared" si="123"/>
        <v>0.43405949138104916</v>
      </c>
      <c r="E1959" s="8">
        <f t="shared" si="120"/>
        <v>279</v>
      </c>
    </row>
    <row r="1960" spans="1:5" ht="18.5" x14ac:dyDescent="0.45">
      <c r="A1960" s="3">
        <v>1954</v>
      </c>
      <c r="B1960" s="9">
        <f t="shared" si="121"/>
        <v>0.99994681364040461</v>
      </c>
      <c r="C1960" s="3">
        <f t="shared" si="122"/>
        <v>4441363.7674652208</v>
      </c>
      <c r="D1960" s="3">
        <f t="shared" si="123"/>
        <v>0.43308796640485525</v>
      </c>
      <c r="E1960" s="8">
        <f t="shared" si="120"/>
        <v>279.14285714285717</v>
      </c>
    </row>
    <row r="1961" spans="1:5" ht="18.5" x14ac:dyDescent="0.45">
      <c r="A1961" s="3">
        <v>1955</v>
      </c>
      <c r="B1961" s="9">
        <f t="shared" si="121"/>
        <v>0.99994691092945109</v>
      </c>
      <c r="C1961" s="3">
        <f t="shared" si="122"/>
        <v>4441364.1995842503</v>
      </c>
      <c r="D1961" s="3">
        <f t="shared" si="123"/>
        <v>0.4321190295740962</v>
      </c>
      <c r="E1961" s="8">
        <f t="shared" si="120"/>
        <v>279.28571428571428</v>
      </c>
    </row>
    <row r="1962" spans="1:5" ht="18.5" x14ac:dyDescent="0.45">
      <c r="A1962" s="3">
        <v>1956</v>
      </c>
      <c r="B1962" s="9">
        <f t="shared" si="121"/>
        <v>0.99994700800092662</v>
      </c>
      <c r="C1962" s="3">
        <f t="shared" si="122"/>
        <v>4441364.6307369154</v>
      </c>
      <c r="D1962" s="3">
        <f t="shared" si="123"/>
        <v>0.43115266505628824</v>
      </c>
      <c r="E1962" s="8">
        <f t="shared" si="120"/>
        <v>279.42857142857144</v>
      </c>
    </row>
    <row r="1963" spans="1:5" ht="18.5" x14ac:dyDescent="0.45">
      <c r="A1963" s="3">
        <v>1957</v>
      </c>
      <c r="B1963" s="9">
        <f t="shared" si="121"/>
        <v>0.99994710485540961</v>
      </c>
      <c r="C1963" s="3">
        <f t="shared" si="122"/>
        <v>4441365.0609257873</v>
      </c>
      <c r="D1963" s="3">
        <f t="shared" si="123"/>
        <v>0.4301888719201088</v>
      </c>
      <c r="E1963" s="8">
        <f t="shared" si="120"/>
        <v>279.57142857142856</v>
      </c>
    </row>
    <row r="1964" spans="1:5" ht="18.5" x14ac:dyDescent="0.45">
      <c r="A1964" s="3">
        <v>1958</v>
      </c>
      <c r="B1964" s="9">
        <f t="shared" si="121"/>
        <v>0.99994720149347627</v>
      </c>
      <c r="C1964" s="3">
        <f t="shared" si="122"/>
        <v>4441365.4901534244</v>
      </c>
      <c r="D1964" s="3">
        <f t="shared" si="123"/>
        <v>0.42922763712704182</v>
      </c>
      <c r="E1964" s="8">
        <f t="shared" si="120"/>
        <v>279.71428571428572</v>
      </c>
    </row>
    <row r="1965" spans="1:5" ht="18.5" x14ac:dyDescent="0.45">
      <c r="A1965" s="3">
        <v>1959</v>
      </c>
      <c r="B1965" s="9">
        <f t="shared" si="121"/>
        <v>0.99994729791570125</v>
      </c>
      <c r="C1965" s="3">
        <f t="shared" si="122"/>
        <v>4441365.9184223786</v>
      </c>
      <c r="D1965" s="3">
        <f t="shared" si="123"/>
        <v>0.42826895415782928</v>
      </c>
      <c r="E1965" s="8">
        <f t="shared" si="120"/>
        <v>279.85714285714283</v>
      </c>
    </row>
    <row r="1966" spans="1:5" ht="18.5" x14ac:dyDescent="0.45">
      <c r="A1966" s="3">
        <v>1960</v>
      </c>
      <c r="B1966" s="9">
        <f t="shared" si="121"/>
        <v>0.99994739412265754</v>
      </c>
      <c r="C1966" s="3">
        <f t="shared" si="122"/>
        <v>4441366.345735196</v>
      </c>
      <c r="D1966" s="3">
        <f t="shared" si="123"/>
        <v>0.42731281742453575</v>
      </c>
      <c r="E1966" s="8">
        <f t="shared" si="120"/>
        <v>280</v>
      </c>
    </row>
    <row r="1967" spans="1:5" ht="18.5" x14ac:dyDescent="0.45">
      <c r="A1967" s="3">
        <v>1961</v>
      </c>
      <c r="B1967" s="9">
        <f t="shared" si="121"/>
        <v>0.99994749011491613</v>
      </c>
      <c r="C1967" s="3">
        <f t="shared" si="122"/>
        <v>4441366.7720944118</v>
      </c>
      <c r="D1967" s="3">
        <f t="shared" si="123"/>
        <v>0.42635921575129032</v>
      </c>
      <c r="E1967" s="8">
        <f t="shared" si="120"/>
        <v>280.14285714285717</v>
      </c>
    </row>
    <row r="1968" spans="1:5" ht="18.5" x14ac:dyDescent="0.45">
      <c r="A1968" s="3">
        <v>1962</v>
      </c>
      <c r="B1968" s="9">
        <f t="shared" si="121"/>
        <v>0.99994758589304644</v>
      </c>
      <c r="C1968" s="3">
        <f t="shared" si="122"/>
        <v>4441367.1975025553</v>
      </c>
      <c r="D1968" s="3">
        <f t="shared" si="123"/>
        <v>0.42540814355015755</v>
      </c>
      <c r="E1968" s="8">
        <f t="shared" si="120"/>
        <v>280.28571428571428</v>
      </c>
    </row>
    <row r="1969" spans="1:5" ht="18.5" x14ac:dyDescent="0.45">
      <c r="A1969" s="3">
        <v>1963</v>
      </c>
      <c r="B1969" s="9">
        <f t="shared" si="121"/>
        <v>0.99994768145761603</v>
      </c>
      <c r="C1969" s="3">
        <f t="shared" si="122"/>
        <v>4441367.6219621478</v>
      </c>
      <c r="D1969" s="3">
        <f t="shared" si="123"/>
        <v>0.42445959243923426</v>
      </c>
      <c r="E1969" s="8">
        <f t="shared" si="120"/>
        <v>280.42857142857144</v>
      </c>
    </row>
    <row r="1970" spans="1:5" ht="18.5" x14ac:dyDescent="0.45">
      <c r="A1970" s="3">
        <v>1964</v>
      </c>
      <c r="B1970" s="9">
        <f t="shared" si="121"/>
        <v>0.99994777680919056</v>
      </c>
      <c r="C1970" s="3">
        <f t="shared" si="122"/>
        <v>4441368.0454757009</v>
      </c>
      <c r="D1970" s="3">
        <f t="shared" si="123"/>
        <v>0.4235135531052947</v>
      </c>
      <c r="E1970" s="8">
        <f t="shared" si="120"/>
        <v>280.57142857142856</v>
      </c>
    </row>
    <row r="1971" spans="1:5" ht="18.5" x14ac:dyDescent="0.45">
      <c r="A1971" s="3">
        <v>1965</v>
      </c>
      <c r="B1971" s="9">
        <f t="shared" si="121"/>
        <v>0.99994787194833434</v>
      </c>
      <c r="C1971" s="3">
        <f t="shared" si="122"/>
        <v>4441368.4680457218</v>
      </c>
      <c r="D1971" s="3">
        <f t="shared" si="123"/>
        <v>0.42257002089172602</v>
      </c>
      <c r="E1971" s="8">
        <f t="shared" si="120"/>
        <v>280.71428571428572</v>
      </c>
    </row>
    <row r="1972" spans="1:5" ht="18.5" x14ac:dyDescent="0.45">
      <c r="A1972" s="3">
        <v>1966</v>
      </c>
      <c r="B1972" s="9">
        <f t="shared" si="121"/>
        <v>0.99994796687560961</v>
      </c>
      <c r="C1972" s="3">
        <f t="shared" si="122"/>
        <v>4441368.8896747073</v>
      </c>
      <c r="D1972" s="3">
        <f t="shared" si="123"/>
        <v>0.42162898555397987</v>
      </c>
      <c r="E1972" s="8">
        <f t="shared" si="120"/>
        <v>280.85714285714283</v>
      </c>
    </row>
    <row r="1973" spans="1:5" ht="18.5" x14ac:dyDescent="0.45">
      <c r="A1973" s="3">
        <v>1967</v>
      </c>
      <c r="B1973" s="9">
        <f t="shared" si="121"/>
        <v>0.99994806159157701</v>
      </c>
      <c r="C1973" s="3">
        <f t="shared" si="122"/>
        <v>4441369.3103651488</v>
      </c>
      <c r="D1973" s="3">
        <f t="shared" si="123"/>
        <v>0.42069044150412083</v>
      </c>
      <c r="E1973" s="8">
        <f t="shared" si="120"/>
        <v>281</v>
      </c>
    </row>
    <row r="1974" spans="1:5" ht="18.5" x14ac:dyDescent="0.45">
      <c r="A1974" s="3">
        <v>1968</v>
      </c>
      <c r="B1974" s="9">
        <f t="shared" si="121"/>
        <v>0.99994815609679544</v>
      </c>
      <c r="C1974" s="3">
        <f t="shared" si="122"/>
        <v>4441369.7301195264</v>
      </c>
      <c r="D1974" s="3">
        <f t="shared" si="123"/>
        <v>0.41975437756627798</v>
      </c>
      <c r="E1974" s="8">
        <f t="shared" si="120"/>
        <v>281.14285714285717</v>
      </c>
    </row>
    <row r="1975" spans="1:5" ht="18.5" x14ac:dyDescent="0.45">
      <c r="A1975" s="3">
        <v>1969</v>
      </c>
      <c r="B1975" s="9">
        <f t="shared" si="121"/>
        <v>0.999948250391822</v>
      </c>
      <c r="C1975" s="3">
        <f t="shared" si="122"/>
        <v>4441370.1489403164</v>
      </c>
      <c r="D1975" s="3">
        <f t="shared" si="123"/>
        <v>0.41882079001516104</v>
      </c>
      <c r="E1975" s="8">
        <f t="shared" si="120"/>
        <v>281.28571428571428</v>
      </c>
    </row>
    <row r="1976" spans="1:5" ht="18.5" x14ac:dyDescent="0.45">
      <c r="A1976" s="3">
        <v>1970</v>
      </c>
      <c r="B1976" s="9">
        <f t="shared" si="121"/>
        <v>0.99994834447721226</v>
      </c>
      <c r="C1976" s="3">
        <f t="shared" si="122"/>
        <v>4441370.5668299859</v>
      </c>
      <c r="D1976" s="3">
        <f t="shared" si="123"/>
        <v>0.41788966953754425</v>
      </c>
      <c r="E1976" s="8">
        <f t="shared" si="120"/>
        <v>281.42857142857144</v>
      </c>
    </row>
    <row r="1977" spans="1:5" ht="18.5" x14ac:dyDescent="0.45">
      <c r="A1977" s="3">
        <v>1971</v>
      </c>
      <c r="B1977" s="9">
        <f t="shared" si="121"/>
        <v>0.99994843835351999</v>
      </c>
      <c r="C1977" s="3">
        <f t="shared" si="122"/>
        <v>4441370.9837909946</v>
      </c>
      <c r="D1977" s="3">
        <f t="shared" si="123"/>
        <v>0.41696100868284702</v>
      </c>
      <c r="E1977" s="8">
        <f t="shared" si="120"/>
        <v>281.57142857142856</v>
      </c>
    </row>
    <row r="1978" spans="1:5" ht="18.5" x14ac:dyDescent="0.45">
      <c r="A1978" s="3">
        <v>1972</v>
      </c>
      <c r="B1978" s="9">
        <f t="shared" si="121"/>
        <v>0.99994853202129708</v>
      </c>
      <c r="C1978" s="3">
        <f t="shared" si="122"/>
        <v>4441371.3998257928</v>
      </c>
      <c r="D1978" s="3">
        <f t="shared" si="123"/>
        <v>0.41603479813784361</v>
      </c>
      <c r="E1978" s="8">
        <f t="shared" si="120"/>
        <v>281.71428571428572</v>
      </c>
    </row>
    <row r="1979" spans="1:5" ht="18.5" x14ac:dyDescent="0.45">
      <c r="A1979" s="3">
        <v>1973</v>
      </c>
      <c r="B1979" s="9">
        <f t="shared" si="121"/>
        <v>0.99994862548109409</v>
      </c>
      <c r="C1979" s="3">
        <f t="shared" si="122"/>
        <v>4441371.8149368279</v>
      </c>
      <c r="D1979" s="3">
        <f t="shared" si="123"/>
        <v>0.41511103510856628</v>
      </c>
      <c r="E1979" s="8">
        <f t="shared" si="120"/>
        <v>281.85714285714283</v>
      </c>
    </row>
    <row r="1980" spans="1:5" ht="18.5" x14ac:dyDescent="0.45">
      <c r="A1980" s="3">
        <v>1974</v>
      </c>
      <c r="B1980" s="9">
        <f t="shared" si="121"/>
        <v>0.99994871873345959</v>
      </c>
      <c r="C1980" s="3">
        <f t="shared" si="122"/>
        <v>4441372.2291265344</v>
      </c>
      <c r="D1980" s="3">
        <f t="shared" si="123"/>
        <v>0.414189706556499</v>
      </c>
      <c r="E1980" s="8">
        <f t="shared" si="120"/>
        <v>282</v>
      </c>
    </row>
    <row r="1981" spans="1:5" ht="18.5" x14ac:dyDescent="0.45">
      <c r="A1981" s="3">
        <v>1975</v>
      </c>
      <c r="B1981" s="9">
        <f t="shared" si="121"/>
        <v>0.99994881177894057</v>
      </c>
      <c r="C1981" s="3">
        <f t="shared" si="122"/>
        <v>4441372.6423973422</v>
      </c>
      <c r="D1981" s="3">
        <f t="shared" si="123"/>
        <v>0.4132708078250289</v>
      </c>
      <c r="E1981" s="8">
        <f t="shared" si="120"/>
        <v>282.14285714285717</v>
      </c>
    </row>
    <row r="1982" spans="1:5" ht="18.5" x14ac:dyDescent="0.45">
      <c r="A1982" s="3">
        <v>1976</v>
      </c>
      <c r="B1982" s="9">
        <f t="shared" si="121"/>
        <v>0.99994890461808228</v>
      </c>
      <c r="C1982" s="3">
        <f t="shared" si="122"/>
        <v>4441373.0547516746</v>
      </c>
      <c r="D1982" s="3">
        <f t="shared" si="123"/>
        <v>0.41235433239489794</v>
      </c>
      <c r="E1982" s="8">
        <f t="shared" si="120"/>
        <v>282.28571428571428</v>
      </c>
    </row>
    <row r="1983" spans="1:5" ht="18.5" x14ac:dyDescent="0.45">
      <c r="A1983" s="3">
        <v>1977</v>
      </c>
      <c r="B1983" s="9">
        <f t="shared" si="121"/>
        <v>0.99994899725142861</v>
      </c>
      <c r="C1983" s="3">
        <f t="shared" si="122"/>
        <v>4441373.4661919456</v>
      </c>
      <c r="D1983" s="3">
        <f t="shared" si="123"/>
        <v>0.41144027095288038</v>
      </c>
      <c r="E1983" s="8">
        <f t="shared" si="120"/>
        <v>282.42857142857144</v>
      </c>
    </row>
    <row r="1984" spans="1:5" ht="18.5" x14ac:dyDescent="0.45">
      <c r="A1984" s="3">
        <v>1978</v>
      </c>
      <c r="B1984" s="9">
        <f t="shared" si="121"/>
        <v>0.99994908967952123</v>
      </c>
      <c r="C1984" s="3">
        <f t="shared" si="122"/>
        <v>4441373.8767205616</v>
      </c>
      <c r="D1984" s="3">
        <f t="shared" si="123"/>
        <v>0.41052861604839563</v>
      </c>
      <c r="E1984" s="8">
        <f t="shared" si="120"/>
        <v>282.57142857142856</v>
      </c>
    </row>
    <row r="1985" spans="1:5" ht="18.5" x14ac:dyDescent="0.45">
      <c r="A1985" s="3">
        <v>1979</v>
      </c>
      <c r="B1985" s="9">
        <f t="shared" si="121"/>
        <v>0.99994918190290072</v>
      </c>
      <c r="C1985" s="3">
        <f t="shared" si="122"/>
        <v>4441374.2863399237</v>
      </c>
      <c r="D1985" s="3">
        <f t="shared" si="123"/>
        <v>0.40961936209350824</v>
      </c>
      <c r="E1985" s="8">
        <f t="shared" si="120"/>
        <v>282.71428571428572</v>
      </c>
    </row>
    <row r="1986" spans="1:5" ht="18.5" x14ac:dyDescent="0.45">
      <c r="A1986" s="3">
        <v>1980</v>
      </c>
      <c r="B1986" s="9">
        <f t="shared" si="121"/>
        <v>0.99994927392210553</v>
      </c>
      <c r="C1986" s="3">
        <f t="shared" si="122"/>
        <v>4441374.6950524235</v>
      </c>
      <c r="D1986" s="3">
        <f t="shared" si="123"/>
        <v>0.40871249977499247</v>
      </c>
      <c r="E1986" s="8">
        <f t="shared" si="120"/>
        <v>282.85714285714283</v>
      </c>
    </row>
    <row r="1987" spans="1:5" ht="18.5" x14ac:dyDescent="0.45">
      <c r="A1987" s="3">
        <v>1981</v>
      </c>
      <c r="B1987" s="9">
        <f t="shared" si="121"/>
        <v>0.9999493657376729</v>
      </c>
      <c r="C1987" s="3">
        <f t="shared" si="122"/>
        <v>4441375.102860448</v>
      </c>
      <c r="D1987" s="3">
        <f t="shared" si="123"/>
        <v>0.40780802443623543</v>
      </c>
      <c r="E1987" s="8">
        <f t="shared" si="120"/>
        <v>283</v>
      </c>
    </row>
    <row r="1988" spans="1:5" ht="18.5" x14ac:dyDescent="0.45">
      <c r="A1988" s="3">
        <v>1982</v>
      </c>
      <c r="B1988" s="9">
        <f t="shared" si="121"/>
        <v>0.99994945735013796</v>
      </c>
      <c r="C1988" s="3">
        <f t="shared" si="122"/>
        <v>4441375.5097663729</v>
      </c>
      <c r="D1988" s="3">
        <f t="shared" si="123"/>
        <v>0.40690592490136623</v>
      </c>
      <c r="E1988" s="8">
        <f t="shared" si="120"/>
        <v>283.14285714285717</v>
      </c>
    </row>
    <row r="1989" spans="1:5" ht="18.5" x14ac:dyDescent="0.45">
      <c r="A1989" s="3">
        <v>1983</v>
      </c>
      <c r="B1989" s="9">
        <f t="shared" si="121"/>
        <v>0.99994954876003472</v>
      </c>
      <c r="C1989" s="3">
        <f t="shared" si="122"/>
        <v>4441375.9157725703</v>
      </c>
      <c r="D1989" s="3">
        <f t="shared" si="123"/>
        <v>0.40600619744509459</v>
      </c>
      <c r="E1989" s="8">
        <f t="shared" si="120"/>
        <v>283.28571428571428</v>
      </c>
    </row>
    <row r="1990" spans="1:5" ht="18.5" x14ac:dyDescent="0.45">
      <c r="A1990" s="3">
        <v>1984</v>
      </c>
      <c r="B1990" s="9">
        <f t="shared" si="121"/>
        <v>0.9999496399678951</v>
      </c>
      <c r="C1990" s="3">
        <f t="shared" si="122"/>
        <v>4441376.3208814031</v>
      </c>
      <c r="D1990" s="3">
        <f t="shared" si="123"/>
        <v>0.40510883275419474</v>
      </c>
      <c r="E1990" s="8">
        <f t="shared" si="120"/>
        <v>283.42857142857144</v>
      </c>
    </row>
    <row r="1991" spans="1:5" ht="18.5" x14ac:dyDescent="0.45">
      <c r="A1991" s="3">
        <v>1985</v>
      </c>
      <c r="B1991" s="9">
        <f t="shared" si="121"/>
        <v>0.99994973097424955</v>
      </c>
      <c r="C1991" s="3">
        <f t="shared" si="122"/>
        <v>4441376.7250952264</v>
      </c>
      <c r="D1991" s="3">
        <f t="shared" si="123"/>
        <v>0.40421382337808609</v>
      </c>
      <c r="E1991" s="8">
        <f t="shared" ref="E1991:E2006" si="124">A1991/7</f>
        <v>283.57142857142856</v>
      </c>
    </row>
    <row r="1992" spans="1:5" ht="18.5" x14ac:dyDescent="0.45">
      <c r="A1992" s="3">
        <v>1986</v>
      </c>
      <c r="B1992" s="9">
        <f t="shared" ref="B1992:B2006" si="125">LOGNORMDIST(A1992,$A$3,$B$3)</f>
        <v>0.9999498217796271</v>
      </c>
      <c r="C1992" s="3">
        <f t="shared" ref="C1992:C2055" si="126">$E$3*B1992</f>
        <v>4441377.128416392</v>
      </c>
      <c r="D1992" s="3">
        <f t="shared" ref="D1992:D2006" si="127">C1992-C1991</f>
        <v>0.40332116559147835</v>
      </c>
      <c r="E1992" s="8">
        <f t="shared" si="124"/>
        <v>283.71428571428572</v>
      </c>
    </row>
    <row r="1993" spans="1:5" ht="18.5" x14ac:dyDescent="0.45">
      <c r="A1993" s="3">
        <v>1987</v>
      </c>
      <c r="B1993" s="9">
        <f t="shared" si="125"/>
        <v>0.999949912384555</v>
      </c>
      <c r="C1993" s="3">
        <f t="shared" si="126"/>
        <v>4441377.5308472393</v>
      </c>
      <c r="D1993" s="3">
        <f t="shared" si="127"/>
        <v>0.40243084728717804</v>
      </c>
      <c r="E1993" s="8">
        <f t="shared" si="124"/>
        <v>283.85714285714283</v>
      </c>
    </row>
    <row r="1994" spans="1:5" ht="18.5" x14ac:dyDescent="0.45">
      <c r="A1994" s="3">
        <v>1988</v>
      </c>
      <c r="B1994" s="9">
        <f t="shared" si="125"/>
        <v>0.99995000278955881</v>
      </c>
      <c r="C1994" s="3">
        <f t="shared" si="126"/>
        <v>4441377.932390104</v>
      </c>
      <c r="D1994" s="3">
        <f t="shared" si="127"/>
        <v>0.40154286473989487</v>
      </c>
      <c r="E1994" s="8">
        <f t="shared" si="124"/>
        <v>284</v>
      </c>
    </row>
    <row r="1995" spans="1:5" ht="18.5" x14ac:dyDescent="0.45">
      <c r="A1995" s="3">
        <v>1989</v>
      </c>
      <c r="B1995" s="9">
        <f t="shared" si="125"/>
        <v>0.99995009299516258</v>
      </c>
      <c r="C1995" s="3">
        <f t="shared" si="126"/>
        <v>4441378.3330473145</v>
      </c>
      <c r="D1995" s="3">
        <f t="shared" si="127"/>
        <v>0.40065721049904823</v>
      </c>
      <c r="E1995" s="8">
        <f t="shared" si="124"/>
        <v>284.14285714285717</v>
      </c>
    </row>
    <row r="1996" spans="1:5" ht="18.5" x14ac:dyDescent="0.45">
      <c r="A1996" s="3">
        <v>1990</v>
      </c>
      <c r="B1996" s="9">
        <f t="shared" si="125"/>
        <v>0.99995018300188876</v>
      </c>
      <c r="C1996" s="3">
        <f t="shared" si="126"/>
        <v>4441378.7328211889</v>
      </c>
      <c r="D1996" s="3">
        <f t="shared" si="127"/>
        <v>0.39977387432008982</v>
      </c>
      <c r="E1996" s="8">
        <f t="shared" si="124"/>
        <v>284.28571428571428</v>
      </c>
    </row>
    <row r="1997" spans="1:5" ht="18.5" x14ac:dyDescent="0.45">
      <c r="A1997" s="3">
        <v>1991</v>
      </c>
      <c r="B1997" s="9">
        <f t="shared" si="125"/>
        <v>0.99995027281025817</v>
      </c>
      <c r="C1997" s="3">
        <f t="shared" si="126"/>
        <v>4441379.1317140423</v>
      </c>
      <c r="D1997" s="3">
        <f t="shared" si="127"/>
        <v>0.3988928534090519</v>
      </c>
      <c r="E1997" s="8">
        <f t="shared" si="124"/>
        <v>284.42857142857144</v>
      </c>
    </row>
    <row r="1998" spans="1:5" ht="18.5" x14ac:dyDescent="0.45">
      <c r="A1998" s="3">
        <v>1992</v>
      </c>
      <c r="B1998" s="9">
        <f t="shared" si="125"/>
        <v>0.99995036242079016</v>
      </c>
      <c r="C1998" s="3">
        <f t="shared" si="126"/>
        <v>4441379.5297281817</v>
      </c>
      <c r="D1998" s="3">
        <f t="shared" si="127"/>
        <v>0.3980141393840313</v>
      </c>
      <c r="E1998" s="8">
        <f t="shared" si="124"/>
        <v>284.57142857142856</v>
      </c>
    </row>
    <row r="1999" spans="1:5" ht="18.5" x14ac:dyDescent="0.45">
      <c r="A1999" s="3">
        <v>1993</v>
      </c>
      <c r="B1999" s="9">
        <f t="shared" si="125"/>
        <v>0.99995045183400244</v>
      </c>
      <c r="C1999" s="3">
        <f t="shared" si="126"/>
        <v>4441379.9268659055</v>
      </c>
      <c r="D1999" s="3">
        <f t="shared" si="127"/>
        <v>0.39713772386312485</v>
      </c>
      <c r="E1999" s="8">
        <f t="shared" si="124"/>
        <v>284.71428571428572</v>
      </c>
    </row>
    <row r="2000" spans="1:5" ht="18.5" x14ac:dyDescent="0.45">
      <c r="A2000" s="3">
        <v>1994</v>
      </c>
      <c r="B2000" s="9">
        <f t="shared" si="125"/>
        <v>0.99995054105041115</v>
      </c>
      <c r="C2000" s="3">
        <f t="shared" si="126"/>
        <v>4441380.3231295059</v>
      </c>
      <c r="D2000" s="3">
        <f t="shared" si="127"/>
        <v>0.39626360032707453</v>
      </c>
      <c r="E2000" s="8">
        <f t="shared" si="124"/>
        <v>284.85714285714283</v>
      </c>
    </row>
    <row r="2001" spans="1:5" ht="18.5" x14ac:dyDescent="0.45">
      <c r="A2001" s="3">
        <v>1995</v>
      </c>
      <c r="B2001" s="9">
        <f t="shared" si="125"/>
        <v>0.99995063007053075</v>
      </c>
      <c r="C2001" s="3">
        <f t="shared" si="126"/>
        <v>4441380.718521269</v>
      </c>
      <c r="D2001" s="3">
        <f t="shared" si="127"/>
        <v>0.39539176318794489</v>
      </c>
      <c r="E2001" s="8">
        <f t="shared" si="124"/>
        <v>285</v>
      </c>
    </row>
    <row r="2002" spans="1:5" ht="18.5" x14ac:dyDescent="0.45">
      <c r="A2002" s="3">
        <v>1996</v>
      </c>
      <c r="B2002" s="9">
        <f t="shared" si="125"/>
        <v>0.99995071889487419</v>
      </c>
      <c r="C2002" s="3">
        <f t="shared" si="126"/>
        <v>4441381.1130434731</v>
      </c>
      <c r="D2002" s="3">
        <f t="shared" si="127"/>
        <v>0.39452220406383276</v>
      </c>
      <c r="E2002" s="8">
        <f t="shared" si="124"/>
        <v>285.14285714285717</v>
      </c>
    </row>
    <row r="2003" spans="1:5" ht="18.5" x14ac:dyDescent="0.45">
      <c r="A2003" s="3">
        <v>1997</v>
      </c>
      <c r="B2003" s="9">
        <f t="shared" si="125"/>
        <v>0.99995080752395293</v>
      </c>
      <c r="C2003" s="3">
        <f t="shared" si="126"/>
        <v>4441381.5066983895</v>
      </c>
      <c r="D2003" s="3">
        <f t="shared" si="127"/>
        <v>0.39365491643548012</v>
      </c>
      <c r="E2003" s="8">
        <f t="shared" si="124"/>
        <v>285.28571428571428</v>
      </c>
    </row>
    <row r="2004" spans="1:5" ht="18.5" x14ac:dyDescent="0.45">
      <c r="A2004" s="3">
        <v>1998</v>
      </c>
      <c r="B2004" s="9">
        <f t="shared" si="125"/>
        <v>0.99995089595827702</v>
      </c>
      <c r="C2004" s="3">
        <f t="shared" si="126"/>
        <v>4441381.8994882833</v>
      </c>
      <c r="D2004" s="3">
        <f t="shared" si="127"/>
        <v>0.39278989378362894</v>
      </c>
      <c r="E2004" s="8">
        <f t="shared" si="124"/>
        <v>285.42857142857144</v>
      </c>
    </row>
    <row r="2005" spans="1:5" ht="18.5" x14ac:dyDescent="0.45">
      <c r="A2005" s="3">
        <v>1999</v>
      </c>
      <c r="B2005" s="9">
        <f t="shared" si="125"/>
        <v>0.9999509841983546</v>
      </c>
      <c r="C2005" s="3">
        <f t="shared" si="126"/>
        <v>4441382.291415412</v>
      </c>
      <c r="D2005" s="3">
        <f t="shared" si="127"/>
        <v>0.39192712865769863</v>
      </c>
      <c r="E2005" s="8">
        <f t="shared" si="124"/>
        <v>285.57142857142856</v>
      </c>
    </row>
    <row r="2006" spans="1:5" ht="18.5" x14ac:dyDescent="0.45">
      <c r="A2006" s="3">
        <v>2000</v>
      </c>
      <c r="B2006" s="9">
        <f t="shared" si="125"/>
        <v>0.99995107224469237</v>
      </c>
      <c r="C2006" s="3">
        <f t="shared" si="126"/>
        <v>4441382.6824820256</v>
      </c>
      <c r="D2006" s="3">
        <f t="shared" si="127"/>
        <v>0.39106661360710859</v>
      </c>
      <c r="E2006" s="8">
        <f t="shared" si="124"/>
        <v>285.71428571428572</v>
      </c>
    </row>
    <row r="2007" spans="1:5" ht="18.5" x14ac:dyDescent="0.45">
      <c r="A2007" s="3">
        <v>2001</v>
      </c>
      <c r="B2007" s="9">
        <f t="shared" ref="B2007:B2070" si="128">LOGNORMDIST(A2007,$A$3,$B$3)</f>
        <v>0.99995116009779583</v>
      </c>
      <c r="C2007" s="3">
        <f t="shared" si="126"/>
        <v>4441383.0726903696</v>
      </c>
      <c r="D2007" s="3">
        <f t="shared" ref="D2007:D2070" si="129">C2007-C2006</f>
        <v>0.39020834397524595</v>
      </c>
      <c r="E2007" s="8">
        <f t="shared" ref="E2007:E2070" si="130">A2007/7</f>
        <v>285.85714285714283</v>
      </c>
    </row>
    <row r="2008" spans="1:5" ht="18.5" x14ac:dyDescent="0.45">
      <c r="A2008" s="3">
        <v>2002</v>
      </c>
      <c r="B2008" s="9">
        <f t="shared" si="128"/>
        <v>0.99995124775816857</v>
      </c>
      <c r="C2008" s="3">
        <f t="shared" si="126"/>
        <v>4441383.4620426819</v>
      </c>
      <c r="D2008" s="3">
        <f t="shared" si="129"/>
        <v>0.38935231231153011</v>
      </c>
      <c r="E2008" s="8">
        <f t="shared" si="130"/>
        <v>286</v>
      </c>
    </row>
    <row r="2009" spans="1:5" ht="18.5" x14ac:dyDescent="0.45">
      <c r="A2009" s="3">
        <v>2003</v>
      </c>
      <c r="B2009" s="9">
        <f t="shared" si="128"/>
        <v>0.99995133522631285</v>
      </c>
      <c r="C2009" s="3">
        <f t="shared" si="126"/>
        <v>4441383.8505411912</v>
      </c>
      <c r="D2009" s="3">
        <f t="shared" si="129"/>
        <v>0.38849850930273533</v>
      </c>
      <c r="E2009" s="8">
        <f t="shared" si="130"/>
        <v>286.14285714285717</v>
      </c>
    </row>
    <row r="2010" spans="1:5" ht="18.5" x14ac:dyDescent="0.45">
      <c r="A2010" s="3">
        <v>2004</v>
      </c>
      <c r="B2010" s="9">
        <f t="shared" si="128"/>
        <v>0.99995142250272917</v>
      </c>
      <c r="C2010" s="3">
        <f t="shared" si="126"/>
        <v>4441384.2381881215</v>
      </c>
      <c r="D2010" s="3">
        <f t="shared" si="129"/>
        <v>0.38764693029224873</v>
      </c>
      <c r="E2010" s="8">
        <f t="shared" si="130"/>
        <v>286.28571428571428</v>
      </c>
    </row>
    <row r="2011" spans="1:5" ht="18.5" x14ac:dyDescent="0.45">
      <c r="A2011" s="3">
        <v>2005</v>
      </c>
      <c r="B2011" s="9">
        <f t="shared" si="128"/>
        <v>0.9999515095879169</v>
      </c>
      <c r="C2011" s="3">
        <f t="shared" si="126"/>
        <v>4441384.6249856921</v>
      </c>
      <c r="D2011" s="3">
        <f t="shared" si="129"/>
        <v>0.38679757062345743</v>
      </c>
      <c r="E2011" s="8">
        <f t="shared" si="130"/>
        <v>286.42857142857144</v>
      </c>
    </row>
    <row r="2012" spans="1:5" ht="18.5" x14ac:dyDescent="0.45">
      <c r="A2012" s="3">
        <v>2006</v>
      </c>
      <c r="B2012" s="9">
        <f t="shared" si="128"/>
        <v>0.99995159648237353</v>
      </c>
      <c r="C2012" s="3">
        <f t="shared" si="126"/>
        <v>4441385.0109361103</v>
      </c>
      <c r="D2012" s="3">
        <f t="shared" si="129"/>
        <v>0.38595041818916798</v>
      </c>
      <c r="E2012" s="8">
        <f t="shared" si="130"/>
        <v>286.57142857142856</v>
      </c>
    </row>
    <row r="2013" spans="1:5" ht="18.5" x14ac:dyDescent="0.45">
      <c r="A2013" s="3">
        <v>2007</v>
      </c>
      <c r="B2013" s="9">
        <f t="shared" si="128"/>
        <v>0.99995168318659533</v>
      </c>
      <c r="C2013" s="3">
        <f t="shared" si="126"/>
        <v>4441385.3960415814</v>
      </c>
      <c r="D2013" s="3">
        <f t="shared" si="129"/>
        <v>0.38510547112673521</v>
      </c>
      <c r="E2013" s="8">
        <f t="shared" si="130"/>
        <v>286.71428571428572</v>
      </c>
    </row>
    <row r="2014" spans="1:5" ht="18.5" x14ac:dyDescent="0.45">
      <c r="A2014" s="3">
        <v>2008</v>
      </c>
      <c r="B2014" s="9">
        <f t="shared" si="128"/>
        <v>0.9999517697010768</v>
      </c>
      <c r="C2014" s="3">
        <f t="shared" si="126"/>
        <v>4441385.7803043025</v>
      </c>
      <c r="D2014" s="3">
        <f t="shared" si="129"/>
        <v>0.38426272105425596</v>
      </c>
      <c r="E2014" s="8">
        <f t="shared" si="130"/>
        <v>286.85714285714283</v>
      </c>
    </row>
    <row r="2015" spans="1:5" ht="18.5" x14ac:dyDescent="0.45">
      <c r="A2015" s="3">
        <v>2009</v>
      </c>
      <c r="B2015" s="9">
        <f t="shared" si="128"/>
        <v>0.9999518560263112</v>
      </c>
      <c r="C2015" s="3">
        <f t="shared" si="126"/>
        <v>4441386.1637264639</v>
      </c>
      <c r="D2015" s="3">
        <f t="shared" si="129"/>
        <v>0.38342216145247221</v>
      </c>
      <c r="E2015" s="8">
        <f t="shared" si="130"/>
        <v>287</v>
      </c>
    </row>
    <row r="2016" spans="1:5" ht="18.5" x14ac:dyDescent="0.45">
      <c r="A2016" s="3">
        <v>2010</v>
      </c>
      <c r="B2016" s="9">
        <f t="shared" si="128"/>
        <v>0.99995194216279015</v>
      </c>
      <c r="C2016" s="3">
        <f t="shared" si="126"/>
        <v>4441386.5463102488</v>
      </c>
      <c r="D2016" s="3">
        <f t="shared" si="129"/>
        <v>0.38258378487080336</v>
      </c>
      <c r="E2016" s="8">
        <f t="shared" si="130"/>
        <v>287.14285714285717</v>
      </c>
    </row>
    <row r="2017" spans="1:5" ht="18.5" x14ac:dyDescent="0.45">
      <c r="A2017" s="3">
        <v>2011</v>
      </c>
      <c r="B2017" s="9">
        <f t="shared" si="128"/>
        <v>0.99995202811100381</v>
      </c>
      <c r="C2017" s="3">
        <f t="shared" si="126"/>
        <v>4441386.9280578345</v>
      </c>
      <c r="D2017" s="3">
        <f t="shared" si="129"/>
        <v>0.38174758572131395</v>
      </c>
      <c r="E2017" s="8">
        <f t="shared" si="130"/>
        <v>287.28571428571428</v>
      </c>
    </row>
    <row r="2018" spans="1:5" ht="18.5" x14ac:dyDescent="0.45">
      <c r="A2018" s="3">
        <v>2012</v>
      </c>
      <c r="B2018" s="9">
        <f t="shared" si="128"/>
        <v>0.9999521138714409</v>
      </c>
      <c r="C2018" s="3">
        <f t="shared" si="126"/>
        <v>4441387.308971392</v>
      </c>
      <c r="D2018" s="3">
        <f t="shared" si="129"/>
        <v>0.38091355748474598</v>
      </c>
      <c r="E2018" s="8">
        <f t="shared" si="130"/>
        <v>287.42857142857144</v>
      </c>
    </row>
    <row r="2019" spans="1:5" ht="18.5" x14ac:dyDescent="0.45">
      <c r="A2019" s="3">
        <v>2013</v>
      </c>
      <c r="B2019" s="9">
        <f t="shared" si="128"/>
        <v>0.99995219944458869</v>
      </c>
      <c r="C2019" s="3">
        <f t="shared" si="126"/>
        <v>4441387.6890530847</v>
      </c>
      <c r="D2019" s="3">
        <f t="shared" si="129"/>
        <v>0.38008169271051884</v>
      </c>
      <c r="E2019" s="8">
        <f t="shared" si="130"/>
        <v>287.57142857142856</v>
      </c>
    </row>
    <row r="2020" spans="1:5" ht="18.5" x14ac:dyDescent="0.45">
      <c r="A2020" s="3">
        <v>2014</v>
      </c>
      <c r="B2020" s="9">
        <f t="shared" si="128"/>
        <v>0.99995228483093279</v>
      </c>
      <c r="C2020" s="3">
        <f t="shared" si="126"/>
        <v>4441388.0683050714</v>
      </c>
      <c r="D2020" s="3">
        <f t="shared" si="129"/>
        <v>0.37925198674201965</v>
      </c>
      <c r="E2020" s="8">
        <f t="shared" si="130"/>
        <v>287.71428571428572</v>
      </c>
    </row>
    <row r="2021" spans="1:5" ht="18.5" x14ac:dyDescent="0.45">
      <c r="A2021" s="3">
        <v>2015</v>
      </c>
      <c r="B2021" s="9">
        <f t="shared" si="128"/>
        <v>0.9999523700309576</v>
      </c>
      <c r="C2021" s="3">
        <f t="shared" si="126"/>
        <v>4441388.4467295017</v>
      </c>
      <c r="D2021" s="3">
        <f t="shared" si="129"/>
        <v>0.37842443026602268</v>
      </c>
      <c r="E2021" s="8">
        <f t="shared" si="130"/>
        <v>287.85714285714283</v>
      </c>
    </row>
    <row r="2022" spans="1:5" ht="18.5" x14ac:dyDescent="0.45">
      <c r="A2022" s="3">
        <v>2016</v>
      </c>
      <c r="B2022" s="9">
        <f t="shared" si="128"/>
        <v>0.99995245504514585</v>
      </c>
      <c r="C2022" s="3">
        <f t="shared" si="126"/>
        <v>4441388.8243285194</v>
      </c>
      <c r="D2022" s="3">
        <f t="shared" si="129"/>
        <v>0.37759901769459248</v>
      </c>
      <c r="E2022" s="8">
        <f t="shared" si="130"/>
        <v>288</v>
      </c>
    </row>
    <row r="2023" spans="1:5" ht="18.5" x14ac:dyDescent="0.45">
      <c r="A2023" s="3">
        <v>2017</v>
      </c>
      <c r="B2023" s="9">
        <f t="shared" si="128"/>
        <v>0.99995253987397903</v>
      </c>
      <c r="C2023" s="3">
        <f t="shared" si="126"/>
        <v>4441389.2011042656</v>
      </c>
      <c r="D2023" s="3">
        <f t="shared" si="129"/>
        <v>0.37677574623376131</v>
      </c>
      <c r="E2023" s="8">
        <f t="shared" si="130"/>
        <v>288.14285714285717</v>
      </c>
    </row>
    <row r="2024" spans="1:5" ht="18.5" x14ac:dyDescent="0.45">
      <c r="A2024" s="3">
        <v>2018</v>
      </c>
      <c r="B2024" s="9">
        <f t="shared" si="128"/>
        <v>0.99995262451793709</v>
      </c>
      <c r="C2024" s="3">
        <f t="shared" si="126"/>
        <v>4441389.5770588694</v>
      </c>
      <c r="D2024" s="3">
        <f t="shared" si="129"/>
        <v>0.37595460377633572</v>
      </c>
      <c r="E2024" s="8">
        <f t="shared" si="130"/>
        <v>288.28571428571428</v>
      </c>
    </row>
    <row r="2025" spans="1:5" ht="18.5" x14ac:dyDescent="0.45">
      <c r="A2025" s="3">
        <v>2019</v>
      </c>
      <c r="B2025" s="9">
        <f t="shared" si="128"/>
        <v>0.99995270897749833</v>
      </c>
      <c r="C2025" s="3">
        <f t="shared" si="126"/>
        <v>4441389.9521944569</v>
      </c>
      <c r="D2025" s="3">
        <f t="shared" si="129"/>
        <v>0.37513558752834797</v>
      </c>
      <c r="E2025" s="8">
        <f t="shared" si="130"/>
        <v>288.42857142857144</v>
      </c>
    </row>
    <row r="2026" spans="1:5" ht="18.5" x14ac:dyDescent="0.45">
      <c r="A2026" s="3">
        <v>2020</v>
      </c>
      <c r="B2026" s="9">
        <f t="shared" si="128"/>
        <v>0.99995279325314002</v>
      </c>
      <c r="C2026" s="3">
        <f t="shared" si="126"/>
        <v>4441390.326513147</v>
      </c>
      <c r="D2026" s="3">
        <f t="shared" si="129"/>
        <v>0.37431869003921747</v>
      </c>
      <c r="E2026" s="8">
        <f t="shared" si="130"/>
        <v>288.57142857142856</v>
      </c>
    </row>
    <row r="2027" spans="1:5" ht="18.5" x14ac:dyDescent="0.45">
      <c r="A2027" s="3">
        <v>2021</v>
      </c>
      <c r="B2027" s="9">
        <f t="shared" si="128"/>
        <v>0.99995287734533755</v>
      </c>
      <c r="C2027" s="3">
        <f t="shared" si="126"/>
        <v>4441390.7000170508</v>
      </c>
      <c r="D2027" s="3">
        <f t="shared" si="129"/>
        <v>0.37350390385836363</v>
      </c>
      <c r="E2027" s="8">
        <f t="shared" si="130"/>
        <v>288.71428571428572</v>
      </c>
    </row>
    <row r="2028" spans="1:5" ht="18.5" x14ac:dyDescent="0.45">
      <c r="A2028" s="3">
        <v>2022</v>
      </c>
      <c r="B2028" s="9">
        <f t="shared" si="128"/>
        <v>0.99995296125456523</v>
      </c>
      <c r="C2028" s="3">
        <f t="shared" si="126"/>
        <v>4441391.072708277</v>
      </c>
      <c r="D2028" s="3">
        <f t="shared" si="129"/>
        <v>0.37269122619181871</v>
      </c>
      <c r="E2028" s="8">
        <f t="shared" si="130"/>
        <v>288.85714285714283</v>
      </c>
    </row>
    <row r="2029" spans="1:5" ht="18.5" x14ac:dyDescent="0.45">
      <c r="A2029" s="3">
        <v>2023</v>
      </c>
      <c r="B2029" s="9">
        <f t="shared" si="128"/>
        <v>0.99995304498129589</v>
      </c>
      <c r="C2029" s="3">
        <f t="shared" si="126"/>
        <v>4441391.4445889238</v>
      </c>
      <c r="D2029" s="3">
        <f t="shared" si="129"/>
        <v>0.37188064679503441</v>
      </c>
      <c r="E2029" s="8">
        <f t="shared" si="130"/>
        <v>289</v>
      </c>
    </row>
    <row r="2030" spans="1:5" ht="18.5" x14ac:dyDescent="0.45">
      <c r="A2030" s="3">
        <v>2024</v>
      </c>
      <c r="B2030" s="9">
        <f t="shared" si="128"/>
        <v>0.99995312852600071</v>
      </c>
      <c r="C2030" s="3">
        <f t="shared" si="126"/>
        <v>4441391.8156610848</v>
      </c>
      <c r="D2030" s="3">
        <f t="shared" si="129"/>
        <v>0.37107216101139784</v>
      </c>
      <c r="E2030" s="8">
        <f t="shared" si="130"/>
        <v>289.14285714285717</v>
      </c>
    </row>
    <row r="2031" spans="1:5" ht="18.5" x14ac:dyDescent="0.45">
      <c r="A2031" s="3">
        <v>2025</v>
      </c>
      <c r="B2031" s="9">
        <f t="shared" si="128"/>
        <v>0.99995321188914965</v>
      </c>
      <c r="C2031" s="3">
        <f t="shared" si="126"/>
        <v>4441392.1859268472</v>
      </c>
      <c r="D2031" s="3">
        <f t="shared" si="129"/>
        <v>0.37026576232165098</v>
      </c>
      <c r="E2031" s="8">
        <f t="shared" si="130"/>
        <v>289.28571428571428</v>
      </c>
    </row>
    <row r="2032" spans="1:5" ht="18.5" x14ac:dyDescent="0.45">
      <c r="A2032" s="3">
        <v>2026</v>
      </c>
      <c r="B2032" s="9">
        <f t="shared" si="128"/>
        <v>0.99995329507121122</v>
      </c>
      <c r="C2032" s="3">
        <f t="shared" si="126"/>
        <v>4441392.5553882914</v>
      </c>
      <c r="D2032" s="3">
        <f t="shared" si="129"/>
        <v>0.36946144420653582</v>
      </c>
      <c r="E2032" s="8">
        <f t="shared" si="130"/>
        <v>289.42857142857144</v>
      </c>
    </row>
    <row r="2033" spans="1:5" ht="18.5" x14ac:dyDescent="0.45">
      <c r="A2033" s="3">
        <v>2027</v>
      </c>
      <c r="B2033" s="9">
        <f t="shared" si="128"/>
        <v>0.99995337807265261</v>
      </c>
      <c r="C2033" s="3">
        <f t="shared" si="126"/>
        <v>4441392.9240474934</v>
      </c>
      <c r="D2033" s="3">
        <f t="shared" si="129"/>
        <v>0.36865920200943947</v>
      </c>
      <c r="E2033" s="8">
        <f t="shared" si="130"/>
        <v>289.57142857142856</v>
      </c>
    </row>
    <row r="2034" spans="1:5" ht="18.5" x14ac:dyDescent="0.45">
      <c r="A2034" s="3">
        <v>2028</v>
      </c>
      <c r="B2034" s="9">
        <f t="shared" si="128"/>
        <v>0.99995346089393944</v>
      </c>
      <c r="C2034" s="3">
        <f t="shared" si="126"/>
        <v>4441393.2919065217</v>
      </c>
      <c r="D2034" s="3">
        <f t="shared" si="129"/>
        <v>0.36785902827978134</v>
      </c>
      <c r="E2034" s="8">
        <f t="shared" si="130"/>
        <v>289.71428571428572</v>
      </c>
    </row>
    <row r="2035" spans="1:5" ht="18.5" x14ac:dyDescent="0.45">
      <c r="A2035" s="3">
        <v>2029</v>
      </c>
      <c r="B2035" s="9">
        <f t="shared" si="128"/>
        <v>0.99995354353553612</v>
      </c>
      <c r="C2035" s="3">
        <f t="shared" si="126"/>
        <v>4441393.6589674372</v>
      </c>
      <c r="D2035" s="3">
        <f t="shared" si="129"/>
        <v>0.36706091556698084</v>
      </c>
      <c r="E2035" s="8">
        <f t="shared" si="130"/>
        <v>289.85714285714283</v>
      </c>
    </row>
    <row r="2036" spans="1:5" ht="18.5" x14ac:dyDescent="0.45">
      <c r="A2036" s="3">
        <v>2030</v>
      </c>
      <c r="B2036" s="9">
        <f t="shared" si="128"/>
        <v>0.99995362599790538</v>
      </c>
      <c r="C2036" s="3">
        <f t="shared" si="126"/>
        <v>4441394.0252322964</v>
      </c>
      <c r="D2036" s="3">
        <f t="shared" si="129"/>
        <v>0.36626485921442509</v>
      </c>
      <c r="E2036" s="8">
        <f t="shared" si="130"/>
        <v>290</v>
      </c>
    </row>
    <row r="2037" spans="1:5" ht="18.5" x14ac:dyDescent="0.45">
      <c r="A2037" s="3">
        <v>2031</v>
      </c>
      <c r="B2037" s="9">
        <f t="shared" si="128"/>
        <v>0.99995370828150898</v>
      </c>
      <c r="C2037" s="3">
        <f t="shared" si="126"/>
        <v>4441394.3907031501</v>
      </c>
      <c r="D2037" s="3">
        <f t="shared" si="129"/>
        <v>0.36547085363417864</v>
      </c>
      <c r="E2037" s="8">
        <f t="shared" si="130"/>
        <v>290.14285714285717</v>
      </c>
    </row>
    <row r="2038" spans="1:5" ht="18.5" x14ac:dyDescent="0.45">
      <c r="A2038" s="3">
        <v>2032</v>
      </c>
      <c r="B2038" s="9">
        <f t="shared" si="128"/>
        <v>0.99995379038680698</v>
      </c>
      <c r="C2038" s="3">
        <f t="shared" si="126"/>
        <v>4441394.7553820414</v>
      </c>
      <c r="D2038" s="3">
        <f t="shared" si="129"/>
        <v>0.3646788913756609</v>
      </c>
      <c r="E2038" s="8">
        <f t="shared" si="130"/>
        <v>290.28571428571428</v>
      </c>
    </row>
    <row r="2039" spans="1:5" ht="18.5" x14ac:dyDescent="0.45">
      <c r="A2039" s="3">
        <v>2033</v>
      </c>
      <c r="B2039" s="9">
        <f t="shared" si="128"/>
        <v>0.99995387231425825</v>
      </c>
      <c r="C2039" s="3">
        <f t="shared" si="126"/>
        <v>4441395.1192710092</v>
      </c>
      <c r="D2039" s="3">
        <f t="shared" si="129"/>
        <v>0.36388896778225899</v>
      </c>
      <c r="E2039" s="8">
        <f t="shared" si="130"/>
        <v>290.42857142857144</v>
      </c>
    </row>
    <row r="2040" spans="1:5" ht="18.5" x14ac:dyDescent="0.45">
      <c r="A2040" s="3">
        <v>2034</v>
      </c>
      <c r="B2040" s="9">
        <f t="shared" si="128"/>
        <v>0.99995395406431997</v>
      </c>
      <c r="C2040" s="3">
        <f t="shared" si="126"/>
        <v>4441395.4823720837</v>
      </c>
      <c r="D2040" s="3">
        <f t="shared" si="129"/>
        <v>0.36310107447206974</v>
      </c>
      <c r="E2040" s="8">
        <f t="shared" si="130"/>
        <v>290.57142857142856</v>
      </c>
    </row>
    <row r="2041" spans="1:5" ht="18.5" x14ac:dyDescent="0.45">
      <c r="A2041" s="3">
        <v>2035</v>
      </c>
      <c r="B2041" s="9">
        <f t="shared" si="128"/>
        <v>0.99995403563744845</v>
      </c>
      <c r="C2041" s="3">
        <f t="shared" si="126"/>
        <v>4441395.8446872914</v>
      </c>
      <c r="D2041" s="3">
        <f t="shared" si="129"/>
        <v>0.36231520771980286</v>
      </c>
      <c r="E2041" s="8">
        <f t="shared" si="130"/>
        <v>290.71428571428572</v>
      </c>
    </row>
    <row r="2042" spans="1:5" ht="18.5" x14ac:dyDescent="0.45">
      <c r="A2042" s="3">
        <v>2036</v>
      </c>
      <c r="B2042" s="9">
        <f t="shared" si="128"/>
        <v>0.9999541170340982</v>
      </c>
      <c r="C2042" s="3">
        <f t="shared" si="126"/>
        <v>4441396.2062186506</v>
      </c>
      <c r="D2042" s="3">
        <f t="shared" si="129"/>
        <v>0.36153135914355516</v>
      </c>
      <c r="E2042" s="8">
        <f t="shared" si="130"/>
        <v>290.85714285714283</v>
      </c>
    </row>
    <row r="2043" spans="1:5" ht="18.5" x14ac:dyDescent="0.45">
      <c r="A2043" s="3">
        <v>2037</v>
      </c>
      <c r="B2043" s="9">
        <f t="shared" si="128"/>
        <v>0.99995419825472254</v>
      </c>
      <c r="C2043" s="3">
        <f t="shared" si="126"/>
        <v>4441396.5669681756</v>
      </c>
      <c r="D2043" s="3">
        <f t="shared" si="129"/>
        <v>0.36074952501803637</v>
      </c>
      <c r="E2043" s="8">
        <f t="shared" si="130"/>
        <v>291</v>
      </c>
    </row>
    <row r="2044" spans="1:5" ht="18.5" x14ac:dyDescent="0.45">
      <c r="A2044" s="3">
        <v>2038</v>
      </c>
      <c r="B2044" s="9">
        <f t="shared" si="128"/>
        <v>0.99995427929977354</v>
      </c>
      <c r="C2044" s="3">
        <f t="shared" si="126"/>
        <v>4441396.9269378744</v>
      </c>
      <c r="D2044" s="3">
        <f t="shared" si="129"/>
        <v>0.35996969882398844</v>
      </c>
      <c r="E2044" s="8">
        <f t="shared" si="130"/>
        <v>291.14285714285717</v>
      </c>
    </row>
    <row r="2045" spans="1:5" ht="18.5" x14ac:dyDescent="0.45">
      <c r="A2045" s="3">
        <v>2039</v>
      </c>
      <c r="B2045" s="9">
        <f t="shared" si="128"/>
        <v>0.99995436016970174</v>
      </c>
      <c r="C2045" s="3">
        <f t="shared" si="126"/>
        <v>4441397.2861297475</v>
      </c>
      <c r="D2045" s="3">
        <f t="shared" si="129"/>
        <v>0.35919187311083078</v>
      </c>
      <c r="E2045" s="8">
        <f t="shared" si="130"/>
        <v>291.28571428571428</v>
      </c>
    </row>
    <row r="2046" spans="1:5" ht="18.5" x14ac:dyDescent="0.45">
      <c r="A2046" s="3">
        <v>2040</v>
      </c>
      <c r="B2046" s="9">
        <f t="shared" si="128"/>
        <v>0.99995444086495655</v>
      </c>
      <c r="C2046" s="3">
        <f t="shared" si="126"/>
        <v>4441397.6445457907</v>
      </c>
      <c r="D2046" s="3">
        <f t="shared" si="129"/>
        <v>0.35841604322195053</v>
      </c>
      <c r="E2046" s="8">
        <f t="shared" si="130"/>
        <v>291.42857142857144</v>
      </c>
    </row>
    <row r="2047" spans="1:5" ht="18.5" x14ac:dyDescent="0.45">
      <c r="A2047" s="3">
        <v>2041</v>
      </c>
      <c r="B2047" s="9">
        <f t="shared" si="128"/>
        <v>0.99995452138598573</v>
      </c>
      <c r="C2047" s="3">
        <f t="shared" si="126"/>
        <v>4441398.0021879943</v>
      </c>
      <c r="D2047" s="3">
        <f t="shared" si="129"/>
        <v>0.35764220356941223</v>
      </c>
      <c r="E2047" s="8">
        <f t="shared" si="130"/>
        <v>291.57142857142856</v>
      </c>
    </row>
    <row r="2048" spans="1:5" ht="18.5" x14ac:dyDescent="0.45">
      <c r="A2048" s="3">
        <v>2042</v>
      </c>
      <c r="B2048" s="9">
        <f t="shared" si="128"/>
        <v>0.99995460173323603</v>
      </c>
      <c r="C2048" s="3">
        <f t="shared" si="126"/>
        <v>4441398.359058341</v>
      </c>
      <c r="D2048" s="3">
        <f t="shared" si="129"/>
        <v>0.35687034670263529</v>
      </c>
      <c r="E2048" s="8">
        <f t="shared" si="130"/>
        <v>291.71428571428572</v>
      </c>
    </row>
    <row r="2049" spans="1:5" ht="18.5" x14ac:dyDescent="0.45">
      <c r="A2049" s="3">
        <v>2043</v>
      </c>
      <c r="B2049" s="9">
        <f t="shared" si="128"/>
        <v>0.99995468190715253</v>
      </c>
      <c r="C2049" s="3">
        <f t="shared" si="126"/>
        <v>4441398.715158809</v>
      </c>
      <c r="D2049" s="3">
        <f t="shared" si="129"/>
        <v>0.35610046796500683</v>
      </c>
      <c r="E2049" s="8">
        <f t="shared" si="130"/>
        <v>291.85714285714283</v>
      </c>
    </row>
    <row r="2050" spans="1:5" ht="18.5" x14ac:dyDescent="0.45">
      <c r="A2050" s="3">
        <v>2044</v>
      </c>
      <c r="B2050" s="9">
        <f t="shared" si="128"/>
        <v>0.99995476190817945</v>
      </c>
      <c r="C2050" s="3">
        <f t="shared" si="126"/>
        <v>4441399.0704913698</v>
      </c>
      <c r="D2050" s="3">
        <f t="shared" si="129"/>
        <v>0.35533256083726883</v>
      </c>
      <c r="E2050" s="8">
        <f t="shared" si="130"/>
        <v>292</v>
      </c>
    </row>
    <row r="2051" spans="1:5" ht="18.5" x14ac:dyDescent="0.45">
      <c r="A2051" s="3">
        <v>2045</v>
      </c>
      <c r="B2051" s="9">
        <f t="shared" si="128"/>
        <v>0.99995484173675919</v>
      </c>
      <c r="C2051" s="3">
        <f t="shared" si="126"/>
        <v>4441399.4250579895</v>
      </c>
      <c r="D2051" s="3">
        <f t="shared" si="129"/>
        <v>0.35456661973148584</v>
      </c>
      <c r="E2051" s="8">
        <f t="shared" si="130"/>
        <v>292.14285714285717</v>
      </c>
    </row>
    <row r="2052" spans="1:5" ht="18.5" x14ac:dyDescent="0.45">
      <c r="A2052" s="3">
        <v>2046</v>
      </c>
      <c r="B2052" s="9">
        <f t="shared" si="128"/>
        <v>0.99995492139333331</v>
      </c>
      <c r="C2052" s="3">
        <f t="shared" si="126"/>
        <v>4441399.7788606295</v>
      </c>
      <c r="D2052" s="3">
        <f t="shared" si="129"/>
        <v>0.353802639991045</v>
      </c>
      <c r="E2052" s="8">
        <f t="shared" si="130"/>
        <v>292.28571428571428</v>
      </c>
    </row>
    <row r="2053" spans="1:5" ht="18.5" x14ac:dyDescent="0.45">
      <c r="A2053" s="3">
        <v>2047</v>
      </c>
      <c r="B2053" s="9">
        <f t="shared" si="128"/>
        <v>0.99995500087834155</v>
      </c>
      <c r="C2053" s="3">
        <f t="shared" si="126"/>
        <v>4441400.1319012418</v>
      </c>
      <c r="D2053" s="3">
        <f t="shared" si="129"/>
        <v>0.35304061230272055</v>
      </c>
      <c r="E2053" s="8">
        <f t="shared" si="130"/>
        <v>292.42857142857144</v>
      </c>
    </row>
    <row r="2054" spans="1:5" ht="18.5" x14ac:dyDescent="0.45">
      <c r="A2054" s="3">
        <v>2048</v>
      </c>
      <c r="B2054" s="9">
        <f t="shared" si="128"/>
        <v>0.99995508019222268</v>
      </c>
      <c r="C2054" s="3">
        <f t="shared" si="126"/>
        <v>4441400.4841817766</v>
      </c>
      <c r="D2054" s="3">
        <f t="shared" si="129"/>
        <v>0.35228053480386734</v>
      </c>
      <c r="E2054" s="8">
        <f t="shared" si="130"/>
        <v>292.57142857142856</v>
      </c>
    </row>
    <row r="2055" spans="1:5" ht="18.5" x14ac:dyDescent="0.45">
      <c r="A2055" s="3">
        <v>2049</v>
      </c>
      <c r="B2055" s="9">
        <f t="shared" si="128"/>
        <v>0.99995515933541412</v>
      </c>
      <c r="C2055" s="3">
        <f t="shared" si="126"/>
        <v>4441400.8357041758</v>
      </c>
      <c r="D2055" s="3">
        <f t="shared" si="129"/>
        <v>0.35152239911258221</v>
      </c>
      <c r="E2055" s="8">
        <f t="shared" si="130"/>
        <v>292.71428571428572</v>
      </c>
    </row>
    <row r="2056" spans="1:5" ht="18.5" x14ac:dyDescent="0.45">
      <c r="A2056" s="3">
        <v>2050</v>
      </c>
      <c r="B2056" s="9">
        <f t="shared" si="128"/>
        <v>0.99995523830835198</v>
      </c>
      <c r="C2056" s="3">
        <f t="shared" ref="C2056:C2119" si="131">$E$3*B2056</f>
        <v>4441401.1864703763</v>
      </c>
      <c r="D2056" s="3">
        <f t="shared" si="129"/>
        <v>0.35076620057225227</v>
      </c>
      <c r="E2056" s="8">
        <f t="shared" si="130"/>
        <v>292.85714285714283</v>
      </c>
    </row>
    <row r="2057" spans="1:5" ht="18.5" x14ac:dyDescent="0.45">
      <c r="A2057" s="3">
        <v>2051</v>
      </c>
      <c r="B2057" s="9">
        <f t="shared" si="128"/>
        <v>0.99995531711147112</v>
      </c>
      <c r="C2057" s="3">
        <f t="shared" si="131"/>
        <v>4441401.5364823099</v>
      </c>
      <c r="D2057" s="3">
        <f t="shared" si="129"/>
        <v>0.35001193359494209</v>
      </c>
      <c r="E2057" s="8">
        <f t="shared" si="130"/>
        <v>293</v>
      </c>
    </row>
    <row r="2058" spans="1:5" ht="18.5" x14ac:dyDescent="0.45">
      <c r="A2058" s="3">
        <v>2052</v>
      </c>
      <c r="B2058" s="9">
        <f t="shared" si="128"/>
        <v>0.99995539574520487</v>
      </c>
      <c r="C2058" s="3">
        <f t="shared" si="131"/>
        <v>4441401.8857419016</v>
      </c>
      <c r="D2058" s="3">
        <f t="shared" si="129"/>
        <v>0.34925959166139364</v>
      </c>
      <c r="E2058" s="8">
        <f t="shared" si="130"/>
        <v>293.14285714285717</v>
      </c>
    </row>
    <row r="2059" spans="1:5" ht="18.5" x14ac:dyDescent="0.45">
      <c r="A2059" s="3">
        <v>2053</v>
      </c>
      <c r="B2059" s="9">
        <f t="shared" si="128"/>
        <v>0.99995547420998554</v>
      </c>
      <c r="C2059" s="3">
        <f t="shared" si="131"/>
        <v>4441402.2342510717</v>
      </c>
      <c r="D2059" s="3">
        <f t="shared" si="129"/>
        <v>0.34850917011499405</v>
      </c>
      <c r="E2059" s="8">
        <f t="shared" si="130"/>
        <v>293.28571428571428</v>
      </c>
    </row>
    <row r="2060" spans="1:5" ht="18.5" x14ac:dyDescent="0.45">
      <c r="A2060" s="3">
        <v>2054</v>
      </c>
      <c r="B2060" s="9">
        <f t="shared" si="128"/>
        <v>0.99995555250624413</v>
      </c>
      <c r="C2060" s="3">
        <f t="shared" si="131"/>
        <v>4441402.5820117341</v>
      </c>
      <c r="D2060" s="3">
        <f t="shared" si="129"/>
        <v>0.34776066243648529</v>
      </c>
      <c r="E2060" s="8">
        <f t="shared" si="130"/>
        <v>293.42857142857144</v>
      </c>
    </row>
    <row r="2061" spans="1:5" ht="18.5" x14ac:dyDescent="0.45">
      <c r="A2061" s="3">
        <v>2055</v>
      </c>
      <c r="B2061" s="9">
        <f t="shared" si="128"/>
        <v>0.99995563063441018</v>
      </c>
      <c r="C2061" s="3">
        <f t="shared" si="131"/>
        <v>4441402.9290257962</v>
      </c>
      <c r="D2061" s="3">
        <f t="shared" si="129"/>
        <v>0.34701406210660934</v>
      </c>
      <c r="E2061" s="8">
        <f t="shared" si="130"/>
        <v>293.57142857142856</v>
      </c>
    </row>
    <row r="2062" spans="1:5" ht="18.5" x14ac:dyDescent="0.45">
      <c r="A2062" s="3">
        <v>2056</v>
      </c>
      <c r="B2062" s="9">
        <f t="shared" si="128"/>
        <v>0.99995570859491223</v>
      </c>
      <c r="C2062" s="3">
        <f t="shared" si="131"/>
        <v>4441403.2752951626</v>
      </c>
      <c r="D2062" s="3">
        <f t="shared" si="129"/>
        <v>0.34626936633139849</v>
      </c>
      <c r="E2062" s="8">
        <f t="shared" si="130"/>
        <v>293.71428571428572</v>
      </c>
    </row>
    <row r="2063" spans="1:5" ht="18.5" x14ac:dyDescent="0.45">
      <c r="A2063" s="3">
        <v>2057</v>
      </c>
      <c r="B2063" s="9">
        <f t="shared" si="128"/>
        <v>0.99995578638817728</v>
      </c>
      <c r="C2063" s="3">
        <f t="shared" si="131"/>
        <v>4441403.6208217284</v>
      </c>
      <c r="D2063" s="3">
        <f t="shared" si="129"/>
        <v>0.34552656579762697</v>
      </c>
      <c r="E2063" s="8">
        <f t="shared" si="130"/>
        <v>293.85714285714283</v>
      </c>
    </row>
    <row r="2064" spans="1:5" ht="18.5" x14ac:dyDescent="0.45">
      <c r="A2064" s="3">
        <v>2058</v>
      </c>
      <c r="B2064" s="9">
        <f t="shared" si="128"/>
        <v>0.99995586401463121</v>
      </c>
      <c r="C2064" s="3">
        <f t="shared" si="131"/>
        <v>4441403.9656073861</v>
      </c>
      <c r="D2064" s="3">
        <f t="shared" si="129"/>
        <v>0.34478565771132708</v>
      </c>
      <c r="E2064" s="8">
        <f t="shared" si="130"/>
        <v>294</v>
      </c>
    </row>
    <row r="2065" spans="1:5" ht="18.5" x14ac:dyDescent="0.45">
      <c r="A2065" s="3">
        <v>2059</v>
      </c>
      <c r="B2065" s="9">
        <f t="shared" si="128"/>
        <v>0.99995594147469868</v>
      </c>
      <c r="C2065" s="3">
        <f t="shared" si="131"/>
        <v>4441404.3096540216</v>
      </c>
      <c r="D2065" s="3">
        <f t="shared" si="129"/>
        <v>0.34404663555324078</v>
      </c>
      <c r="E2065" s="8">
        <f t="shared" si="130"/>
        <v>294.14285714285717</v>
      </c>
    </row>
    <row r="2066" spans="1:5" ht="18.5" x14ac:dyDescent="0.45">
      <c r="A2066" s="3">
        <v>2060</v>
      </c>
      <c r="B2066" s="9">
        <f t="shared" si="128"/>
        <v>0.99995601876880302</v>
      </c>
      <c r="C2066" s="3">
        <f t="shared" si="131"/>
        <v>4441404.6529635154</v>
      </c>
      <c r="D2066" s="3">
        <f t="shared" si="129"/>
        <v>0.34330949373543262</v>
      </c>
      <c r="E2066" s="8">
        <f t="shared" si="130"/>
        <v>294.28571428571428</v>
      </c>
    </row>
    <row r="2067" spans="1:5" ht="18.5" x14ac:dyDescent="0.45">
      <c r="A2067" s="3">
        <v>2061</v>
      </c>
      <c r="B2067" s="9">
        <f t="shared" si="128"/>
        <v>0.99995609589736634</v>
      </c>
      <c r="C2067" s="3">
        <f t="shared" si="131"/>
        <v>4441404.995537742</v>
      </c>
      <c r="D2067" s="3">
        <f t="shared" si="129"/>
        <v>0.34257422666996717</v>
      </c>
      <c r="E2067" s="8">
        <f t="shared" si="130"/>
        <v>294.42857142857144</v>
      </c>
    </row>
    <row r="2068" spans="1:5" ht="18.5" x14ac:dyDescent="0.45">
      <c r="A2068" s="3">
        <v>2062</v>
      </c>
      <c r="B2068" s="9">
        <f t="shared" si="128"/>
        <v>0.9999561728608094</v>
      </c>
      <c r="C2068" s="3">
        <f t="shared" si="131"/>
        <v>4441405.3373785708</v>
      </c>
      <c r="D2068" s="3">
        <f t="shared" si="129"/>
        <v>0.34184082876890898</v>
      </c>
      <c r="E2068" s="8">
        <f t="shared" si="130"/>
        <v>294.57142857142856</v>
      </c>
    </row>
    <row r="2069" spans="1:5" ht="18.5" x14ac:dyDescent="0.45">
      <c r="A2069" s="3">
        <v>2063</v>
      </c>
      <c r="B2069" s="9">
        <f t="shared" si="128"/>
        <v>0.99995624965955177</v>
      </c>
      <c r="C2069" s="3">
        <f t="shared" si="131"/>
        <v>4441405.6784878653</v>
      </c>
      <c r="D2069" s="3">
        <f t="shared" si="129"/>
        <v>0.34110929444432259</v>
      </c>
      <c r="E2069" s="8">
        <f t="shared" si="130"/>
        <v>294.71428571428572</v>
      </c>
    </row>
    <row r="2070" spans="1:5" ht="18.5" x14ac:dyDescent="0.45">
      <c r="A2070" s="3">
        <v>2064</v>
      </c>
      <c r="B2070" s="9">
        <f t="shared" si="128"/>
        <v>0.99995632629401199</v>
      </c>
      <c r="C2070" s="3">
        <f t="shared" si="131"/>
        <v>4441406.0188674834</v>
      </c>
      <c r="D2070" s="3">
        <f t="shared" si="129"/>
        <v>0.34037961810827255</v>
      </c>
      <c r="E2070" s="8">
        <f t="shared" si="130"/>
        <v>294.85714285714283</v>
      </c>
    </row>
    <row r="2071" spans="1:5" ht="18.5" x14ac:dyDescent="0.45">
      <c r="A2071" s="3">
        <v>2065</v>
      </c>
      <c r="B2071" s="9">
        <f t="shared" ref="B2071:B2134" si="132">LOGNORMDIST(A2071,$A$3,$B$3)</f>
        <v>0.99995640276460707</v>
      </c>
      <c r="C2071" s="3">
        <f t="shared" si="131"/>
        <v>4441406.3585192785</v>
      </c>
      <c r="D2071" s="3">
        <f t="shared" ref="D2071:D2134" si="133">C2071-C2070</f>
        <v>0.339651795104146</v>
      </c>
      <c r="E2071" s="8">
        <f t="shared" ref="E2071:E2134" si="134">A2071/7</f>
        <v>295</v>
      </c>
    </row>
    <row r="2072" spans="1:5" ht="18.5" x14ac:dyDescent="0.45">
      <c r="A2072" s="3">
        <v>2066</v>
      </c>
      <c r="B2072" s="9">
        <f t="shared" si="132"/>
        <v>0.999956479071753</v>
      </c>
      <c r="C2072" s="3">
        <f t="shared" si="131"/>
        <v>4441406.6974450983</v>
      </c>
      <c r="D2072" s="3">
        <f t="shared" si="133"/>
        <v>0.33892581984400749</v>
      </c>
      <c r="E2072" s="8">
        <f t="shared" si="134"/>
        <v>295.14285714285717</v>
      </c>
    </row>
    <row r="2073" spans="1:5" ht="18.5" x14ac:dyDescent="0.45">
      <c r="A2073" s="3">
        <v>2067</v>
      </c>
      <c r="B2073" s="9">
        <f t="shared" si="132"/>
        <v>0.99995655521586435</v>
      </c>
      <c r="C2073" s="3">
        <f t="shared" si="131"/>
        <v>4441407.0356467832</v>
      </c>
      <c r="D2073" s="3">
        <f t="shared" si="133"/>
        <v>0.33820168487727642</v>
      </c>
      <c r="E2073" s="8">
        <f t="shared" si="134"/>
        <v>295.28571428571428</v>
      </c>
    </row>
    <row r="2074" spans="1:5" ht="18.5" x14ac:dyDescent="0.45">
      <c r="A2074" s="3">
        <v>2068</v>
      </c>
      <c r="B2074" s="9">
        <f t="shared" si="132"/>
        <v>0.99995663119735456</v>
      </c>
      <c r="C2074" s="3">
        <f t="shared" si="131"/>
        <v>4441407.3731261697</v>
      </c>
      <c r="D2074" s="3">
        <f t="shared" si="133"/>
        <v>0.33747938647866249</v>
      </c>
      <c r="E2074" s="8">
        <f t="shared" si="134"/>
        <v>295.42857142857144</v>
      </c>
    </row>
    <row r="2075" spans="1:5" ht="18.5" x14ac:dyDescent="0.45">
      <c r="A2075" s="3">
        <v>2069</v>
      </c>
      <c r="B2075" s="9">
        <f t="shared" si="132"/>
        <v>0.99995670701663597</v>
      </c>
      <c r="C2075" s="3">
        <f t="shared" si="131"/>
        <v>4441407.7098850906</v>
      </c>
      <c r="D2075" s="3">
        <f t="shared" si="133"/>
        <v>0.3367589209228754</v>
      </c>
      <c r="E2075" s="8">
        <f t="shared" si="134"/>
        <v>295.57142857142856</v>
      </c>
    </row>
    <row r="2076" spans="1:5" ht="18.5" x14ac:dyDescent="0.45">
      <c r="A2076" s="3">
        <v>2070</v>
      </c>
      <c r="B2076" s="9">
        <f t="shared" si="132"/>
        <v>0.99995678267411958</v>
      </c>
      <c r="C2076" s="3">
        <f t="shared" si="131"/>
        <v>4441408.0459253695</v>
      </c>
      <c r="D2076" s="3">
        <f t="shared" si="133"/>
        <v>0.33604027889668941</v>
      </c>
      <c r="E2076" s="8">
        <f t="shared" si="134"/>
        <v>295.71428571428572</v>
      </c>
    </row>
    <row r="2077" spans="1:5" ht="18.5" x14ac:dyDescent="0.45">
      <c r="A2077" s="3">
        <v>2071</v>
      </c>
      <c r="B2077" s="9">
        <f t="shared" si="132"/>
        <v>0.99995685817021507</v>
      </c>
      <c r="C2077" s="3">
        <f t="shared" si="131"/>
        <v>4441408.3812488271</v>
      </c>
      <c r="D2077" s="3">
        <f t="shared" si="133"/>
        <v>0.3353234576061368</v>
      </c>
      <c r="E2077" s="8">
        <f t="shared" si="134"/>
        <v>295.85714285714283</v>
      </c>
    </row>
    <row r="2078" spans="1:5" ht="18.5" x14ac:dyDescent="0.45">
      <c r="A2078" s="3">
        <v>2072</v>
      </c>
      <c r="B2078" s="9">
        <f t="shared" si="132"/>
        <v>0.99995693350533121</v>
      </c>
      <c r="C2078" s="3">
        <f t="shared" si="131"/>
        <v>4441408.7158572795</v>
      </c>
      <c r="D2078" s="3">
        <f t="shared" si="133"/>
        <v>0.33460845239460468</v>
      </c>
      <c r="E2078" s="8">
        <f t="shared" si="134"/>
        <v>296</v>
      </c>
    </row>
    <row r="2079" spans="1:5" ht="18.5" x14ac:dyDescent="0.45">
      <c r="A2079" s="3">
        <v>2073</v>
      </c>
      <c r="B2079" s="9">
        <f t="shared" si="132"/>
        <v>0.99995700867987536</v>
      </c>
      <c r="C2079" s="3">
        <f t="shared" si="131"/>
        <v>4441409.0497525344</v>
      </c>
      <c r="D2079" s="3">
        <f t="shared" si="133"/>
        <v>0.3338952548801899</v>
      </c>
      <c r="E2079" s="8">
        <f t="shared" si="134"/>
        <v>296.14285714285717</v>
      </c>
    </row>
    <row r="2080" spans="1:5" ht="18.5" x14ac:dyDescent="0.45">
      <c r="A2080" s="3">
        <v>2074</v>
      </c>
      <c r="B2080" s="9">
        <f t="shared" si="132"/>
        <v>0.99995708369425373</v>
      </c>
      <c r="C2080" s="3">
        <f t="shared" si="131"/>
        <v>4441409.3829363976</v>
      </c>
      <c r="D2080" s="3">
        <f t="shared" si="133"/>
        <v>0.33318386320024729</v>
      </c>
      <c r="E2080" s="8">
        <f t="shared" si="134"/>
        <v>296.28571428571428</v>
      </c>
    </row>
    <row r="2081" spans="1:5" ht="18.5" x14ac:dyDescent="0.45">
      <c r="A2081" s="3">
        <v>2075</v>
      </c>
      <c r="B2081" s="9">
        <f t="shared" si="132"/>
        <v>0.99995715854887135</v>
      </c>
      <c r="C2081" s="3">
        <f t="shared" si="131"/>
        <v>4441409.7154106665</v>
      </c>
      <c r="D2081" s="3">
        <f t="shared" si="133"/>
        <v>0.33247426897287369</v>
      </c>
      <c r="E2081" s="8">
        <f t="shared" si="134"/>
        <v>296.42857142857144</v>
      </c>
    </row>
    <row r="2082" spans="1:5" ht="18.5" x14ac:dyDescent="0.45">
      <c r="A2082" s="3">
        <v>2076</v>
      </c>
      <c r="B2082" s="9">
        <f t="shared" si="132"/>
        <v>0.99995723324413188</v>
      </c>
      <c r="C2082" s="3">
        <f t="shared" si="131"/>
        <v>4441410.0471771359</v>
      </c>
      <c r="D2082" s="3">
        <f t="shared" si="133"/>
        <v>0.33176646940410137</v>
      </c>
      <c r="E2082" s="8">
        <f t="shared" si="134"/>
        <v>296.57142857142856</v>
      </c>
    </row>
    <row r="2083" spans="1:5" ht="18.5" x14ac:dyDescent="0.45">
      <c r="A2083" s="3">
        <v>2077</v>
      </c>
      <c r="B2083" s="9">
        <f t="shared" si="132"/>
        <v>0.99995730778043823</v>
      </c>
      <c r="C2083" s="3">
        <f t="shared" si="131"/>
        <v>4441410.3782375949</v>
      </c>
      <c r="D2083" s="3">
        <f t="shared" si="133"/>
        <v>0.33106045890599489</v>
      </c>
      <c r="E2083" s="8">
        <f t="shared" si="134"/>
        <v>296.71428571428572</v>
      </c>
    </row>
    <row r="2084" spans="1:5" ht="18.5" x14ac:dyDescent="0.45">
      <c r="A2084" s="3">
        <v>2078</v>
      </c>
      <c r="B2084" s="9">
        <f t="shared" si="132"/>
        <v>0.99995738215819163</v>
      </c>
      <c r="C2084" s="3">
        <f t="shared" si="131"/>
        <v>4441410.7085938239</v>
      </c>
      <c r="D2084" s="3">
        <f t="shared" si="133"/>
        <v>0.33035622909665108</v>
      </c>
      <c r="E2084" s="8">
        <f t="shared" si="134"/>
        <v>296.85714285714283</v>
      </c>
    </row>
    <row r="2085" spans="1:5" ht="18.5" x14ac:dyDescent="0.45">
      <c r="A2085" s="3">
        <v>2079</v>
      </c>
      <c r="B2085" s="9">
        <f t="shared" si="132"/>
        <v>0.99995745637779243</v>
      </c>
      <c r="C2085" s="3">
        <f t="shared" si="131"/>
        <v>4441411.038247603</v>
      </c>
      <c r="D2085" s="3">
        <f t="shared" si="133"/>
        <v>0.32965377904474735</v>
      </c>
      <c r="E2085" s="8">
        <f t="shared" si="134"/>
        <v>297</v>
      </c>
    </row>
    <row r="2086" spans="1:5" ht="18.5" x14ac:dyDescent="0.45">
      <c r="A2086" s="3">
        <v>2080</v>
      </c>
      <c r="B2086" s="9">
        <f t="shared" si="132"/>
        <v>0.99995753043963975</v>
      </c>
      <c r="C2086" s="3">
        <f t="shared" si="131"/>
        <v>4441411.3672007043</v>
      </c>
      <c r="D2086" s="3">
        <f t="shared" si="133"/>
        <v>0.32895310129970312</v>
      </c>
      <c r="E2086" s="8">
        <f t="shared" si="134"/>
        <v>297.14285714285717</v>
      </c>
    </row>
    <row r="2087" spans="1:5" ht="18.5" x14ac:dyDescent="0.45">
      <c r="A2087" s="3">
        <v>2081</v>
      </c>
      <c r="B2087" s="9">
        <f t="shared" si="132"/>
        <v>0.99995760434413161</v>
      </c>
      <c r="C2087" s="3">
        <f t="shared" si="131"/>
        <v>4441411.6954548946</v>
      </c>
      <c r="D2087" s="3">
        <f t="shared" si="133"/>
        <v>0.32825419027358294</v>
      </c>
      <c r="E2087" s="8">
        <f t="shared" si="134"/>
        <v>297.28571428571428</v>
      </c>
    </row>
    <row r="2088" spans="1:5" ht="18.5" x14ac:dyDescent="0.45">
      <c r="A2088" s="3">
        <v>2082</v>
      </c>
      <c r="B2088" s="9">
        <f t="shared" si="132"/>
        <v>0.99995767809166458</v>
      </c>
      <c r="C2088" s="3">
        <f t="shared" si="131"/>
        <v>4441412.0230119377</v>
      </c>
      <c r="D2088" s="3">
        <f t="shared" si="133"/>
        <v>0.32755704317241907</v>
      </c>
      <c r="E2088" s="8">
        <f t="shared" si="134"/>
        <v>297.42857142857144</v>
      </c>
    </row>
    <row r="2089" spans="1:5" ht="18.5" x14ac:dyDescent="0.45">
      <c r="A2089" s="3">
        <v>2083</v>
      </c>
      <c r="B2089" s="9">
        <f t="shared" si="132"/>
        <v>0.99995775168263445</v>
      </c>
      <c r="C2089" s="3">
        <f t="shared" si="131"/>
        <v>4441412.3498735894</v>
      </c>
      <c r="D2089" s="3">
        <f t="shared" si="133"/>
        <v>0.32686165161430836</v>
      </c>
      <c r="E2089" s="8">
        <f t="shared" si="134"/>
        <v>297.57142857142856</v>
      </c>
    </row>
    <row r="2090" spans="1:5" ht="18.5" x14ac:dyDescent="0.45">
      <c r="A2090" s="3">
        <v>2084</v>
      </c>
      <c r="B2090" s="9">
        <f t="shared" si="132"/>
        <v>0.99995782511743558</v>
      </c>
      <c r="C2090" s="3">
        <f t="shared" si="131"/>
        <v>4441412.6760416022</v>
      </c>
      <c r="D2090" s="3">
        <f t="shared" si="133"/>
        <v>0.32616801280528307</v>
      </c>
      <c r="E2090" s="8">
        <f t="shared" si="134"/>
        <v>297.71428571428572</v>
      </c>
    </row>
    <row r="2091" spans="1:5" ht="18.5" x14ac:dyDescent="0.45">
      <c r="A2091" s="3">
        <v>2085</v>
      </c>
      <c r="B2091" s="9">
        <f t="shared" si="132"/>
        <v>0.99995789839646132</v>
      </c>
      <c r="C2091" s="3">
        <f t="shared" si="131"/>
        <v>4441413.0015177224</v>
      </c>
      <c r="D2091" s="3">
        <f t="shared" si="133"/>
        <v>0.32547612022608519</v>
      </c>
      <c r="E2091" s="8">
        <f t="shared" si="134"/>
        <v>297.85714285714283</v>
      </c>
    </row>
    <row r="2092" spans="1:5" ht="18.5" x14ac:dyDescent="0.45">
      <c r="A2092" s="3">
        <v>2086</v>
      </c>
      <c r="B2092" s="9">
        <f t="shared" si="132"/>
        <v>0.99995797152010379</v>
      </c>
      <c r="C2092" s="3">
        <f t="shared" si="131"/>
        <v>4441413.3263036935</v>
      </c>
      <c r="D2092" s="3">
        <f t="shared" si="133"/>
        <v>0.32478597108274698</v>
      </c>
      <c r="E2092" s="8">
        <f t="shared" si="134"/>
        <v>298</v>
      </c>
    </row>
    <row r="2093" spans="1:5" ht="18.5" x14ac:dyDescent="0.45">
      <c r="A2093" s="3">
        <v>2087</v>
      </c>
      <c r="B2093" s="9">
        <f t="shared" si="132"/>
        <v>0.99995804448875403</v>
      </c>
      <c r="C2093" s="3">
        <f t="shared" si="131"/>
        <v>4441413.6504012495</v>
      </c>
      <c r="D2093" s="3">
        <f t="shared" si="133"/>
        <v>0.32409755606204271</v>
      </c>
      <c r="E2093" s="8">
        <f t="shared" si="134"/>
        <v>298.14285714285717</v>
      </c>
    </row>
    <row r="2094" spans="1:5" ht="18.5" x14ac:dyDescent="0.45">
      <c r="A2094" s="3">
        <v>2088</v>
      </c>
      <c r="B2094" s="9">
        <f t="shared" si="132"/>
        <v>0.99995811730280182</v>
      </c>
      <c r="C2094" s="3">
        <f t="shared" si="131"/>
        <v>4441413.9738121247</v>
      </c>
      <c r="D2094" s="3">
        <f t="shared" si="133"/>
        <v>0.32341087516397238</v>
      </c>
      <c r="E2094" s="8">
        <f t="shared" si="134"/>
        <v>298.28571428571428</v>
      </c>
    </row>
    <row r="2095" spans="1:5" ht="18.5" x14ac:dyDescent="0.45">
      <c r="A2095" s="3">
        <v>2089</v>
      </c>
      <c r="B2095" s="9">
        <f t="shared" si="132"/>
        <v>0.99995818996263586</v>
      </c>
      <c r="C2095" s="3">
        <f t="shared" si="131"/>
        <v>4441414.2965380438</v>
      </c>
      <c r="D2095" s="3">
        <f t="shared" si="133"/>
        <v>0.32272591907531023</v>
      </c>
      <c r="E2095" s="8">
        <f t="shared" si="134"/>
        <v>298.42857142857144</v>
      </c>
    </row>
    <row r="2096" spans="1:5" ht="18.5" x14ac:dyDescent="0.45">
      <c r="A2096" s="3">
        <v>2090</v>
      </c>
      <c r="B2096" s="9">
        <f t="shared" si="132"/>
        <v>0.99995826246864383</v>
      </c>
      <c r="C2096" s="3">
        <f t="shared" si="131"/>
        <v>4441414.6185807288</v>
      </c>
      <c r="D2096" s="3">
        <f t="shared" si="133"/>
        <v>0.32204268500208855</v>
      </c>
      <c r="E2096" s="8">
        <f t="shared" si="134"/>
        <v>298.57142857142856</v>
      </c>
    </row>
    <row r="2097" spans="1:5" ht="18.5" x14ac:dyDescent="0.45">
      <c r="A2097" s="3">
        <v>2091</v>
      </c>
      <c r="B2097" s="9">
        <f t="shared" si="132"/>
        <v>0.99995833482121221</v>
      </c>
      <c r="C2097" s="3">
        <f t="shared" si="131"/>
        <v>4441414.9399418961</v>
      </c>
      <c r="D2097" s="3">
        <f t="shared" si="133"/>
        <v>0.32136116735637188</v>
      </c>
      <c r="E2097" s="8">
        <f t="shared" si="134"/>
        <v>298.71428571428572</v>
      </c>
    </row>
    <row r="2098" spans="1:5" ht="18.5" x14ac:dyDescent="0.45">
      <c r="A2098" s="3">
        <v>2092</v>
      </c>
      <c r="B2098" s="9">
        <f t="shared" si="132"/>
        <v>0.99995840702072614</v>
      </c>
      <c r="C2098" s="3">
        <f t="shared" si="131"/>
        <v>4441415.2606232576</v>
      </c>
      <c r="D2098" s="3">
        <f t="shared" si="133"/>
        <v>0.32068136148154736</v>
      </c>
      <c r="E2098" s="8">
        <f t="shared" si="134"/>
        <v>298.85714285714283</v>
      </c>
    </row>
    <row r="2099" spans="1:5" ht="18.5" x14ac:dyDescent="0.45">
      <c r="A2099" s="3">
        <v>2093</v>
      </c>
      <c r="B2099" s="9">
        <f t="shared" si="132"/>
        <v>0.99995847906757007</v>
      </c>
      <c r="C2099" s="3">
        <f t="shared" si="131"/>
        <v>4441415.5806265194</v>
      </c>
      <c r="D2099" s="3">
        <f t="shared" si="133"/>
        <v>0.32000326178967953</v>
      </c>
      <c r="E2099" s="8">
        <f t="shared" si="134"/>
        <v>299</v>
      </c>
    </row>
    <row r="2100" spans="1:5" ht="18.5" x14ac:dyDescent="0.45">
      <c r="A2100" s="3">
        <v>2094</v>
      </c>
      <c r="B2100" s="9">
        <f t="shared" si="132"/>
        <v>0.99995855096212682</v>
      </c>
      <c r="C2100" s="3">
        <f t="shared" si="131"/>
        <v>4441415.8999533821</v>
      </c>
      <c r="D2100" s="3">
        <f t="shared" si="133"/>
        <v>0.31932686269283295</v>
      </c>
      <c r="E2100" s="8">
        <f t="shared" si="134"/>
        <v>299.14285714285717</v>
      </c>
    </row>
    <row r="2101" spans="1:5" ht="18.5" x14ac:dyDescent="0.45">
      <c r="A2101" s="3">
        <v>2095</v>
      </c>
      <c r="B2101" s="9">
        <f t="shared" si="132"/>
        <v>0.99995862270477853</v>
      </c>
      <c r="C2101" s="3">
        <f t="shared" si="131"/>
        <v>4441416.2186055444</v>
      </c>
      <c r="D2101" s="3">
        <f t="shared" si="133"/>
        <v>0.31865216232836246</v>
      </c>
      <c r="E2101" s="8">
        <f t="shared" si="134"/>
        <v>299.28571428571428</v>
      </c>
    </row>
    <row r="2102" spans="1:5" ht="18.5" x14ac:dyDescent="0.45">
      <c r="A2102" s="3">
        <v>2096</v>
      </c>
      <c r="B2102" s="9">
        <f t="shared" si="132"/>
        <v>0.99995869429590611</v>
      </c>
      <c r="C2102" s="3">
        <f t="shared" si="131"/>
        <v>4441416.5365846967</v>
      </c>
      <c r="D2102" s="3">
        <f t="shared" si="133"/>
        <v>0.31797915231436491</v>
      </c>
      <c r="E2102" s="8">
        <f t="shared" si="134"/>
        <v>299.42857142857144</v>
      </c>
    </row>
    <row r="2103" spans="1:5" ht="18.5" x14ac:dyDescent="0.45">
      <c r="A2103" s="3">
        <v>2097</v>
      </c>
      <c r="B2103" s="9">
        <f t="shared" si="132"/>
        <v>0.99995876573588904</v>
      </c>
      <c r="C2103" s="3">
        <f t="shared" si="131"/>
        <v>4441416.8538925247</v>
      </c>
      <c r="D2103" s="3">
        <f t="shared" si="133"/>
        <v>0.31730782799422741</v>
      </c>
      <c r="E2103" s="8">
        <f t="shared" si="134"/>
        <v>299.57142857142856</v>
      </c>
    </row>
    <row r="2104" spans="1:5" ht="18.5" x14ac:dyDescent="0.45">
      <c r="A2104" s="3">
        <v>2098</v>
      </c>
      <c r="B2104" s="9">
        <f t="shared" si="132"/>
        <v>0.99995883702510624</v>
      </c>
      <c r="C2104" s="3">
        <f t="shared" si="131"/>
        <v>4441417.1705307122</v>
      </c>
      <c r="D2104" s="3">
        <f t="shared" si="133"/>
        <v>0.31663818750530481</v>
      </c>
      <c r="E2104" s="8">
        <f t="shared" si="134"/>
        <v>299.71428571428572</v>
      </c>
    </row>
    <row r="2105" spans="1:5" ht="18.5" x14ac:dyDescent="0.45">
      <c r="A2105" s="3">
        <v>2099</v>
      </c>
      <c r="B2105" s="9">
        <f t="shared" si="132"/>
        <v>0.99995890816393507</v>
      </c>
      <c r="C2105" s="3">
        <f t="shared" si="131"/>
        <v>4441417.4865009338</v>
      </c>
      <c r="D2105" s="3">
        <f t="shared" si="133"/>
        <v>0.31597022153437138</v>
      </c>
      <c r="E2105" s="8">
        <f t="shared" si="134"/>
        <v>299.85714285714283</v>
      </c>
    </row>
    <row r="2106" spans="1:5" ht="18.5" x14ac:dyDescent="0.45">
      <c r="A2106" s="3">
        <v>2100</v>
      </c>
      <c r="B2106" s="9">
        <f t="shared" si="132"/>
        <v>0.99995897915275211</v>
      </c>
      <c r="C2106" s="3">
        <f t="shared" si="131"/>
        <v>4441417.8018048638</v>
      </c>
      <c r="D2106" s="3">
        <f t="shared" si="133"/>
        <v>0.3153039300814271</v>
      </c>
      <c r="E2106" s="8">
        <f t="shared" si="134"/>
        <v>300</v>
      </c>
    </row>
    <row r="2107" spans="1:5" ht="18.5" x14ac:dyDescent="0.45">
      <c r="A2107" s="3">
        <v>2101</v>
      </c>
      <c r="B2107" s="9">
        <f t="shared" si="132"/>
        <v>0.99995904999193252</v>
      </c>
      <c r="C2107" s="3">
        <f t="shared" si="131"/>
        <v>4441418.1164441677</v>
      </c>
      <c r="D2107" s="3">
        <f t="shared" si="133"/>
        <v>0.31463930383324623</v>
      </c>
      <c r="E2107" s="8">
        <f t="shared" si="134"/>
        <v>300.14285714285717</v>
      </c>
    </row>
    <row r="2108" spans="1:5" ht="18.5" x14ac:dyDescent="0.45">
      <c r="A2108" s="3">
        <v>2102</v>
      </c>
      <c r="B2108" s="9">
        <f t="shared" si="132"/>
        <v>0.99995912068185078</v>
      </c>
      <c r="C2108" s="3">
        <f t="shared" si="131"/>
        <v>4441418.4304205086</v>
      </c>
      <c r="D2108" s="3">
        <f t="shared" si="133"/>
        <v>0.31397634092718363</v>
      </c>
      <c r="E2108" s="8">
        <f t="shared" si="134"/>
        <v>300.28571428571428</v>
      </c>
    </row>
    <row r="2109" spans="1:5" ht="18.5" x14ac:dyDescent="0.45">
      <c r="A2109" s="3">
        <v>2103</v>
      </c>
      <c r="B2109" s="9">
        <f t="shared" si="132"/>
        <v>0.9999591912228798</v>
      </c>
      <c r="C2109" s="3">
        <f t="shared" si="131"/>
        <v>4441418.7437355425</v>
      </c>
      <c r="D2109" s="3">
        <f t="shared" si="133"/>
        <v>0.31331503391265869</v>
      </c>
      <c r="E2109" s="8">
        <f t="shared" si="134"/>
        <v>300.42857142857144</v>
      </c>
    </row>
    <row r="2110" spans="1:5" ht="18.5" x14ac:dyDescent="0.45">
      <c r="A2110" s="3">
        <v>2104</v>
      </c>
      <c r="B2110" s="9">
        <f t="shared" si="132"/>
        <v>0.99995926161539195</v>
      </c>
      <c r="C2110" s="3">
        <f t="shared" si="131"/>
        <v>4441419.0563909253</v>
      </c>
      <c r="D2110" s="3">
        <f t="shared" si="133"/>
        <v>0.31265538278967142</v>
      </c>
      <c r="E2110" s="8">
        <f t="shared" si="134"/>
        <v>300.57142857142856</v>
      </c>
    </row>
    <row r="2111" spans="1:5" ht="18.5" x14ac:dyDescent="0.45">
      <c r="A2111" s="3">
        <v>2105</v>
      </c>
      <c r="B2111" s="9">
        <f t="shared" si="132"/>
        <v>0.99995933185975794</v>
      </c>
      <c r="C2111" s="3">
        <f t="shared" si="131"/>
        <v>4441419.3683883008</v>
      </c>
      <c r="D2111" s="3">
        <f t="shared" si="133"/>
        <v>0.31199737545102835</v>
      </c>
      <c r="E2111" s="8">
        <f t="shared" si="134"/>
        <v>300.71428571428572</v>
      </c>
    </row>
    <row r="2112" spans="1:5" ht="18.5" x14ac:dyDescent="0.45">
      <c r="A2112" s="3">
        <v>2106</v>
      </c>
      <c r="B2112" s="9">
        <f t="shared" si="132"/>
        <v>0.99995940195634792</v>
      </c>
      <c r="C2112" s="3">
        <f t="shared" si="131"/>
        <v>4441419.6797293145</v>
      </c>
      <c r="D2112" s="3">
        <f t="shared" si="133"/>
        <v>0.31134101375937462</v>
      </c>
      <c r="E2112" s="8">
        <f t="shared" si="134"/>
        <v>300.85714285714283</v>
      </c>
    </row>
    <row r="2113" spans="1:5" ht="18.5" x14ac:dyDescent="0.45">
      <c r="A2113" s="3">
        <v>2107</v>
      </c>
      <c r="B2113" s="9">
        <f t="shared" si="132"/>
        <v>0.99995947190553069</v>
      </c>
      <c r="C2113" s="3">
        <f t="shared" si="131"/>
        <v>4441419.9904156048</v>
      </c>
      <c r="D2113" s="3">
        <f t="shared" si="133"/>
        <v>0.31068629026412964</v>
      </c>
      <c r="E2113" s="8">
        <f t="shared" si="134"/>
        <v>301</v>
      </c>
    </row>
    <row r="2114" spans="1:5" ht="18.5" x14ac:dyDescent="0.45">
      <c r="A2114" s="3">
        <v>2108</v>
      </c>
      <c r="B2114" s="9">
        <f t="shared" si="132"/>
        <v>0.99995954170767398</v>
      </c>
      <c r="C2114" s="3">
        <f t="shared" si="131"/>
        <v>4441420.3004488051</v>
      </c>
      <c r="D2114" s="3">
        <f t="shared" si="133"/>
        <v>0.31003320030868053</v>
      </c>
      <c r="E2114" s="8">
        <f t="shared" si="134"/>
        <v>301.14285714285717</v>
      </c>
    </row>
    <row r="2115" spans="1:5" ht="18.5" x14ac:dyDescent="0.45">
      <c r="A2115" s="3">
        <v>2109</v>
      </c>
      <c r="B2115" s="9">
        <f t="shared" si="132"/>
        <v>0.9999596113631446</v>
      </c>
      <c r="C2115" s="3">
        <f t="shared" si="131"/>
        <v>4441420.6098305434</v>
      </c>
      <c r="D2115" s="3">
        <f t="shared" si="133"/>
        <v>0.30938173830509186</v>
      </c>
      <c r="E2115" s="8">
        <f t="shared" si="134"/>
        <v>301.28571428571428</v>
      </c>
    </row>
    <row r="2116" spans="1:5" ht="18.5" x14ac:dyDescent="0.45">
      <c r="A2116" s="3">
        <v>2110</v>
      </c>
      <c r="B2116" s="9">
        <f t="shared" si="132"/>
        <v>0.99995968087230813</v>
      </c>
      <c r="C2116" s="3">
        <f t="shared" si="131"/>
        <v>4441420.9185624439</v>
      </c>
      <c r="D2116" s="3">
        <f t="shared" si="133"/>
        <v>0.30873190052807331</v>
      </c>
      <c r="E2116" s="8">
        <f t="shared" si="134"/>
        <v>301.42857142857144</v>
      </c>
    </row>
    <row r="2117" spans="1:5" ht="18.5" x14ac:dyDescent="0.45">
      <c r="A2117" s="3">
        <v>2111</v>
      </c>
      <c r="B2117" s="9">
        <f t="shared" si="132"/>
        <v>0.9999597502355293</v>
      </c>
      <c r="C2117" s="3">
        <f t="shared" si="131"/>
        <v>4441421.2266461272</v>
      </c>
      <c r="D2117" s="3">
        <f t="shared" si="133"/>
        <v>0.30808368325233459</v>
      </c>
      <c r="E2117" s="8">
        <f t="shared" si="134"/>
        <v>301.57142857142856</v>
      </c>
    </row>
    <row r="2118" spans="1:5" ht="18.5" x14ac:dyDescent="0.45">
      <c r="A2118" s="3">
        <v>2112</v>
      </c>
      <c r="B2118" s="9">
        <f t="shared" si="132"/>
        <v>0.99995981945317147</v>
      </c>
      <c r="C2118" s="3">
        <f t="shared" si="131"/>
        <v>4441421.5340832062</v>
      </c>
      <c r="D2118" s="3">
        <f t="shared" si="133"/>
        <v>0.30743707902729511</v>
      </c>
      <c r="E2118" s="8">
        <f t="shared" si="134"/>
        <v>301.71428571428572</v>
      </c>
    </row>
    <row r="2119" spans="1:5" ht="18.5" x14ac:dyDescent="0.45">
      <c r="A2119" s="3">
        <v>2113</v>
      </c>
      <c r="B2119" s="9">
        <f t="shared" si="132"/>
        <v>0.99995988852559725</v>
      </c>
      <c r="C2119" s="3">
        <f t="shared" si="131"/>
        <v>4441421.8408752931</v>
      </c>
      <c r="D2119" s="3">
        <f t="shared" si="133"/>
        <v>0.30679208692163229</v>
      </c>
      <c r="E2119" s="8">
        <f t="shared" si="134"/>
        <v>301.85714285714283</v>
      </c>
    </row>
    <row r="2120" spans="1:5" ht="18.5" x14ac:dyDescent="0.45">
      <c r="A2120" s="3">
        <v>2114</v>
      </c>
      <c r="B2120" s="9">
        <f t="shared" si="132"/>
        <v>0.99995995745316801</v>
      </c>
      <c r="C2120" s="3">
        <f t="shared" ref="C2120:C2183" si="135">$E$3*B2120</f>
        <v>4441422.1470239908</v>
      </c>
      <c r="D2120" s="3">
        <f t="shared" si="133"/>
        <v>0.30614869762212038</v>
      </c>
      <c r="E2120" s="8">
        <f t="shared" si="134"/>
        <v>302</v>
      </c>
    </row>
    <row r="2121" spans="1:5" ht="18.5" x14ac:dyDescent="0.45">
      <c r="A2121" s="3">
        <v>2115</v>
      </c>
      <c r="B2121" s="9">
        <f t="shared" si="132"/>
        <v>0.99996002623624425</v>
      </c>
      <c r="C2121" s="3">
        <f t="shared" si="135"/>
        <v>4441422.4525309028</v>
      </c>
      <c r="D2121" s="3">
        <f t="shared" si="133"/>
        <v>0.30550691206008196</v>
      </c>
      <c r="E2121" s="8">
        <f t="shared" si="134"/>
        <v>302.14285714285717</v>
      </c>
    </row>
    <row r="2122" spans="1:5" ht="18.5" x14ac:dyDescent="0.45">
      <c r="A2122" s="3">
        <v>2116</v>
      </c>
      <c r="B2122" s="9">
        <f t="shared" si="132"/>
        <v>0.99996009487518533</v>
      </c>
      <c r="C2122" s="3">
        <f t="shared" si="135"/>
        <v>4441422.7573976228</v>
      </c>
      <c r="D2122" s="3">
        <f t="shared" si="133"/>
        <v>0.3048667199909687</v>
      </c>
      <c r="E2122" s="8">
        <f t="shared" si="134"/>
        <v>302.28571428571428</v>
      </c>
    </row>
    <row r="2123" spans="1:5" ht="18.5" x14ac:dyDescent="0.45">
      <c r="A2123" s="3">
        <v>2117</v>
      </c>
      <c r="B2123" s="9">
        <f t="shared" si="132"/>
        <v>0.99996016337034954</v>
      </c>
      <c r="C2123" s="3">
        <f t="shared" si="135"/>
        <v>4441423.0616257442</v>
      </c>
      <c r="D2123" s="3">
        <f t="shared" si="133"/>
        <v>0.30422812141478062</v>
      </c>
      <c r="E2123" s="8">
        <f t="shared" si="134"/>
        <v>302.42857142857144</v>
      </c>
    </row>
    <row r="2124" spans="1:5" ht="18.5" x14ac:dyDescent="0.45">
      <c r="A2124" s="3">
        <v>2118</v>
      </c>
      <c r="B2124" s="9">
        <f t="shared" si="132"/>
        <v>0.99996023172209414</v>
      </c>
      <c r="C2124" s="3">
        <f t="shared" si="135"/>
        <v>4441423.3652168531</v>
      </c>
      <c r="D2124" s="3">
        <f t="shared" si="133"/>
        <v>0.3035911088809371</v>
      </c>
      <c r="E2124" s="8">
        <f t="shared" si="134"/>
        <v>302.57142857142856</v>
      </c>
    </row>
    <row r="2125" spans="1:5" ht="18.5" x14ac:dyDescent="0.45">
      <c r="A2125" s="3">
        <v>2119</v>
      </c>
      <c r="B2125" s="9">
        <f t="shared" si="132"/>
        <v>0.9999602999307754</v>
      </c>
      <c r="C2125" s="3">
        <f t="shared" si="135"/>
        <v>4441423.6681725318</v>
      </c>
      <c r="D2125" s="3">
        <f t="shared" si="133"/>
        <v>0.30295567866414785</v>
      </c>
      <c r="E2125" s="8">
        <f t="shared" si="134"/>
        <v>302.71428571428572</v>
      </c>
    </row>
    <row r="2126" spans="1:5" ht="18.5" x14ac:dyDescent="0.45">
      <c r="A2126" s="3">
        <v>2120</v>
      </c>
      <c r="B2126" s="9">
        <f t="shared" si="132"/>
        <v>0.99996036799674859</v>
      </c>
      <c r="C2126" s="3">
        <f t="shared" si="135"/>
        <v>4441423.9704943588</v>
      </c>
      <c r="D2126" s="3">
        <f t="shared" si="133"/>
        <v>0.30232182703912258</v>
      </c>
      <c r="E2126" s="8">
        <f t="shared" si="134"/>
        <v>302.85714285714283</v>
      </c>
    </row>
    <row r="2127" spans="1:5" ht="18.5" x14ac:dyDescent="0.45">
      <c r="A2127" s="3">
        <v>2121</v>
      </c>
      <c r="B2127" s="9">
        <f t="shared" si="132"/>
        <v>0.99996043592036787</v>
      </c>
      <c r="C2127" s="3">
        <f t="shared" si="135"/>
        <v>4441424.2721839063</v>
      </c>
      <c r="D2127" s="3">
        <f t="shared" si="133"/>
        <v>0.30168954748660326</v>
      </c>
      <c r="E2127" s="8">
        <f t="shared" si="134"/>
        <v>303</v>
      </c>
    </row>
    <row r="2128" spans="1:5" ht="18.5" x14ac:dyDescent="0.45">
      <c r="A2128" s="3">
        <v>2122</v>
      </c>
      <c r="B2128" s="9">
        <f t="shared" si="132"/>
        <v>0.99996050370198641</v>
      </c>
      <c r="C2128" s="3">
        <f t="shared" si="135"/>
        <v>4441424.5732427426</v>
      </c>
      <c r="D2128" s="3">
        <f t="shared" si="133"/>
        <v>0.30105883628129959</v>
      </c>
      <c r="E2128" s="8">
        <f t="shared" si="134"/>
        <v>303.14285714285717</v>
      </c>
    </row>
    <row r="2129" spans="1:5" ht="18.5" x14ac:dyDescent="0.45">
      <c r="A2129" s="3">
        <v>2123</v>
      </c>
      <c r="B2129" s="9">
        <f t="shared" si="132"/>
        <v>0.99996057134195648</v>
      </c>
      <c r="C2129" s="3">
        <f t="shared" si="135"/>
        <v>4441424.8736724341</v>
      </c>
      <c r="D2129" s="3">
        <f t="shared" si="133"/>
        <v>0.30042969156056643</v>
      </c>
      <c r="E2129" s="8">
        <f t="shared" si="134"/>
        <v>303.28571428571428</v>
      </c>
    </row>
    <row r="2130" spans="1:5" ht="18.5" x14ac:dyDescent="0.45">
      <c r="A2130" s="3">
        <v>2124</v>
      </c>
      <c r="B2130" s="9">
        <f t="shared" si="132"/>
        <v>0.99996063884062913</v>
      </c>
      <c r="C2130" s="3">
        <f t="shared" si="135"/>
        <v>4441425.1734745381</v>
      </c>
      <c r="D2130" s="3">
        <f t="shared" si="133"/>
        <v>0.29980210401117802</v>
      </c>
      <c r="E2130" s="8">
        <f t="shared" si="134"/>
        <v>303.42857142857144</v>
      </c>
    </row>
    <row r="2131" spans="1:5" ht="18.5" x14ac:dyDescent="0.45">
      <c r="A2131" s="3">
        <v>2125</v>
      </c>
      <c r="B2131" s="9">
        <f t="shared" si="132"/>
        <v>0.99996070619835464</v>
      </c>
      <c r="C2131" s="3">
        <f t="shared" si="135"/>
        <v>4441425.4726506118</v>
      </c>
      <c r="D2131" s="3">
        <f t="shared" si="133"/>
        <v>0.29917607363313437</v>
      </c>
      <c r="E2131" s="8">
        <f t="shared" si="134"/>
        <v>303.57142857142856</v>
      </c>
    </row>
    <row r="2132" spans="1:5" ht="18.5" x14ac:dyDescent="0.45">
      <c r="A2132" s="3">
        <v>2126</v>
      </c>
      <c r="B2132" s="9">
        <f t="shared" si="132"/>
        <v>0.99996077341548195</v>
      </c>
      <c r="C2132" s="3">
        <f t="shared" si="135"/>
        <v>4441425.7712022047</v>
      </c>
      <c r="D2132" s="3">
        <f t="shared" si="133"/>
        <v>0.29855159297585487</v>
      </c>
      <c r="E2132" s="8">
        <f t="shared" si="134"/>
        <v>303.71428571428572</v>
      </c>
    </row>
    <row r="2133" spans="1:5" ht="18.5" x14ac:dyDescent="0.45">
      <c r="A2133" s="3">
        <v>2127</v>
      </c>
      <c r="B2133" s="9">
        <f t="shared" si="132"/>
        <v>0.99996084049235934</v>
      </c>
      <c r="C2133" s="3">
        <f t="shared" si="135"/>
        <v>4441426.0691308631</v>
      </c>
      <c r="D2133" s="3">
        <f t="shared" si="133"/>
        <v>0.29792865831404924</v>
      </c>
      <c r="E2133" s="8">
        <f t="shared" si="134"/>
        <v>303.85714285714283</v>
      </c>
    </row>
    <row r="2134" spans="1:5" ht="18.5" x14ac:dyDescent="0.45">
      <c r="A2134" s="3">
        <v>2128</v>
      </c>
      <c r="B2134" s="9">
        <f t="shared" si="132"/>
        <v>0.99996090742933397</v>
      </c>
      <c r="C2134" s="3">
        <f t="shared" si="135"/>
        <v>4441426.3664381299</v>
      </c>
      <c r="D2134" s="3">
        <f t="shared" si="133"/>
        <v>0.29730726685374975</v>
      </c>
      <c r="E2134" s="8">
        <f t="shared" si="134"/>
        <v>304</v>
      </c>
    </row>
    <row r="2135" spans="1:5" ht="18.5" x14ac:dyDescent="0.45">
      <c r="A2135" s="3">
        <v>2129</v>
      </c>
      <c r="B2135" s="9">
        <f t="shared" ref="B2135:B2198" si="136">LOGNORMDIST(A2135,$A$3,$B$3)</f>
        <v>0.9999609742267519</v>
      </c>
      <c r="C2135" s="3">
        <f t="shared" si="135"/>
        <v>4441426.6631255411</v>
      </c>
      <c r="D2135" s="3">
        <f t="shared" ref="D2135:D2198" si="137">C2135-C2134</f>
        <v>0.2966874111443758</v>
      </c>
      <c r="E2135" s="8">
        <f t="shared" ref="E2135:E2198" si="138">A2135/7</f>
        <v>304.14285714285717</v>
      </c>
    </row>
    <row r="2136" spans="1:5" ht="18.5" x14ac:dyDescent="0.45">
      <c r="A2136" s="3">
        <v>2130</v>
      </c>
      <c r="B2136" s="9">
        <f t="shared" si="136"/>
        <v>0.99996104088495819</v>
      </c>
      <c r="C2136" s="3">
        <f t="shared" si="135"/>
        <v>4441426.9591946304</v>
      </c>
      <c r="D2136" s="3">
        <f t="shared" si="137"/>
        <v>0.29606908932328224</v>
      </c>
      <c r="E2136" s="8">
        <f t="shared" si="138"/>
        <v>304.28571428571428</v>
      </c>
    </row>
    <row r="2137" spans="1:5" ht="18.5" x14ac:dyDescent="0.45">
      <c r="A2137" s="3">
        <v>2131</v>
      </c>
      <c r="B2137" s="9">
        <f t="shared" si="136"/>
        <v>0.99996110740429711</v>
      </c>
      <c r="C2137" s="3">
        <f t="shared" si="135"/>
        <v>4441427.2546469262</v>
      </c>
      <c r="D2137" s="3">
        <f t="shared" si="137"/>
        <v>0.29545229580253363</v>
      </c>
      <c r="E2137" s="8">
        <f t="shared" si="138"/>
        <v>304.42857142857144</v>
      </c>
    </row>
    <row r="2138" spans="1:5" ht="18.5" x14ac:dyDescent="0.45">
      <c r="A2138" s="3">
        <v>2132</v>
      </c>
      <c r="B2138" s="9">
        <f t="shared" si="136"/>
        <v>0.99996117378511185</v>
      </c>
      <c r="C2138" s="3">
        <f t="shared" si="135"/>
        <v>4441427.549483953</v>
      </c>
      <c r="D2138" s="3">
        <f t="shared" si="137"/>
        <v>0.29483702685683966</v>
      </c>
      <c r="E2138" s="8">
        <f t="shared" si="138"/>
        <v>304.57142857142856</v>
      </c>
    </row>
    <row r="2139" spans="1:5" ht="18.5" x14ac:dyDescent="0.45">
      <c r="A2139" s="3">
        <v>2133</v>
      </c>
      <c r="B2139" s="9">
        <f t="shared" si="136"/>
        <v>0.99996124002774445</v>
      </c>
      <c r="C2139" s="3">
        <f t="shared" si="135"/>
        <v>4441427.8437072299</v>
      </c>
      <c r="D2139" s="3">
        <f t="shared" si="137"/>
        <v>0.29422327689826488</v>
      </c>
      <c r="E2139" s="8">
        <f t="shared" si="138"/>
        <v>304.71428571428572</v>
      </c>
    </row>
    <row r="2140" spans="1:5" ht="18.5" x14ac:dyDescent="0.45">
      <c r="A2140" s="3">
        <v>2134</v>
      </c>
      <c r="B2140" s="9">
        <f t="shared" si="136"/>
        <v>0.99996130613253631</v>
      </c>
      <c r="C2140" s="3">
        <f t="shared" si="135"/>
        <v>4441428.1373182731</v>
      </c>
      <c r="D2140" s="3">
        <f t="shared" si="137"/>
        <v>0.29361104313284159</v>
      </c>
      <c r="E2140" s="8">
        <f t="shared" si="138"/>
        <v>304.85714285714283</v>
      </c>
    </row>
    <row r="2141" spans="1:5" ht="18.5" x14ac:dyDescent="0.45">
      <c r="A2141" s="3">
        <v>2135</v>
      </c>
      <c r="B2141" s="9">
        <f t="shared" si="136"/>
        <v>0.99996137209982749</v>
      </c>
      <c r="C2141" s="3">
        <f t="shared" si="135"/>
        <v>4441428.430318594</v>
      </c>
      <c r="D2141" s="3">
        <f t="shared" si="137"/>
        <v>0.29300032090395689</v>
      </c>
      <c r="E2141" s="8">
        <f t="shared" si="138"/>
        <v>305</v>
      </c>
    </row>
    <row r="2142" spans="1:5" ht="18.5" x14ac:dyDescent="0.45">
      <c r="A2142" s="3">
        <v>2136</v>
      </c>
      <c r="B2142" s="9">
        <f t="shared" si="136"/>
        <v>0.99996143792995718</v>
      </c>
      <c r="C2142" s="3">
        <f t="shared" si="135"/>
        <v>4441428.7227096977</v>
      </c>
      <c r="D2142" s="3">
        <f t="shared" si="137"/>
        <v>0.29239110369235277</v>
      </c>
      <c r="E2142" s="8">
        <f t="shared" si="138"/>
        <v>305.14285714285717</v>
      </c>
    </row>
    <row r="2143" spans="1:5" ht="18.5" x14ac:dyDescent="0.45">
      <c r="A2143" s="3">
        <v>2137</v>
      </c>
      <c r="B2143" s="9">
        <f t="shared" si="136"/>
        <v>0.99996150362326386</v>
      </c>
      <c r="C2143" s="3">
        <f t="shared" si="135"/>
        <v>4441429.0144930892</v>
      </c>
      <c r="D2143" s="3">
        <f t="shared" si="137"/>
        <v>0.29178339149802923</v>
      </c>
      <c r="E2143" s="8">
        <f t="shared" si="138"/>
        <v>305.28571428571428</v>
      </c>
    </row>
    <row r="2144" spans="1:5" ht="18.5" x14ac:dyDescent="0.45">
      <c r="A2144" s="3">
        <v>2138</v>
      </c>
      <c r="B2144" s="9">
        <f t="shared" si="136"/>
        <v>0.99996156918008461</v>
      </c>
      <c r="C2144" s="3">
        <f t="shared" si="135"/>
        <v>4441429.3056702642</v>
      </c>
      <c r="D2144" s="3">
        <f t="shared" si="137"/>
        <v>0.29117717500776052</v>
      </c>
      <c r="E2144" s="8">
        <f t="shared" si="138"/>
        <v>305.42857142857144</v>
      </c>
    </row>
    <row r="2145" spans="1:5" ht="18.5" x14ac:dyDescent="0.45">
      <c r="A2145" s="3">
        <v>2139</v>
      </c>
      <c r="B2145" s="9">
        <f t="shared" si="136"/>
        <v>0.99996163460075604</v>
      </c>
      <c r="C2145" s="3">
        <f t="shared" si="135"/>
        <v>4441429.5962427184</v>
      </c>
      <c r="D2145" s="3">
        <f t="shared" si="137"/>
        <v>0.29057245422154665</v>
      </c>
      <c r="E2145" s="8">
        <f t="shared" si="138"/>
        <v>305.57142857142856</v>
      </c>
    </row>
    <row r="2146" spans="1:5" ht="18.5" x14ac:dyDescent="0.45">
      <c r="A2146" s="3">
        <v>2140</v>
      </c>
      <c r="B2146" s="9">
        <f t="shared" si="136"/>
        <v>0.99996169988561323</v>
      </c>
      <c r="C2146" s="3">
        <f t="shared" si="135"/>
        <v>4441429.8862119401</v>
      </c>
      <c r="D2146" s="3">
        <f t="shared" si="137"/>
        <v>0.28996922168880701</v>
      </c>
      <c r="E2146" s="8">
        <f t="shared" si="138"/>
        <v>305.71428571428572</v>
      </c>
    </row>
    <row r="2147" spans="1:5" ht="18.5" x14ac:dyDescent="0.45">
      <c r="A2147" s="3">
        <v>2141</v>
      </c>
      <c r="B2147" s="9">
        <f t="shared" si="136"/>
        <v>0.99996176503499079</v>
      </c>
      <c r="C2147" s="3">
        <f t="shared" si="135"/>
        <v>4441430.1755794147</v>
      </c>
      <c r="D2147" s="3">
        <f t="shared" si="137"/>
        <v>0.28936747461557388</v>
      </c>
      <c r="E2147" s="8">
        <f t="shared" si="138"/>
        <v>305.85714285714283</v>
      </c>
    </row>
    <row r="2148" spans="1:5" ht="18.5" x14ac:dyDescent="0.45">
      <c r="A2148" s="3">
        <v>2142</v>
      </c>
      <c r="B2148" s="9">
        <f t="shared" si="136"/>
        <v>0.99996183004922212</v>
      </c>
      <c r="C2148" s="3">
        <f t="shared" si="135"/>
        <v>4441430.4643466249</v>
      </c>
      <c r="D2148" s="3">
        <f t="shared" si="137"/>
        <v>0.28876721020787954</v>
      </c>
      <c r="E2148" s="8">
        <f t="shared" si="138"/>
        <v>306</v>
      </c>
    </row>
    <row r="2149" spans="1:5" ht="18.5" x14ac:dyDescent="0.45">
      <c r="A2149" s="3">
        <v>2143</v>
      </c>
      <c r="B2149" s="9">
        <f t="shared" si="136"/>
        <v>0.99996189492863974</v>
      </c>
      <c r="C2149" s="3">
        <f t="shared" si="135"/>
        <v>4441430.7525150459</v>
      </c>
      <c r="D2149" s="3">
        <f t="shared" si="137"/>
        <v>0.28816842101514339</v>
      </c>
      <c r="E2149" s="8">
        <f t="shared" si="138"/>
        <v>306.14285714285717</v>
      </c>
    </row>
    <row r="2150" spans="1:5" ht="18.5" x14ac:dyDescent="0.45">
      <c r="A2150" s="3">
        <v>2144</v>
      </c>
      <c r="B2150" s="9">
        <f t="shared" si="136"/>
        <v>0.99996195967357515</v>
      </c>
      <c r="C2150" s="3">
        <f t="shared" si="135"/>
        <v>4441431.0400861511</v>
      </c>
      <c r="D2150" s="3">
        <f t="shared" si="137"/>
        <v>0.28757110517472029</v>
      </c>
      <c r="E2150" s="8">
        <f t="shared" si="138"/>
        <v>306.28571428571428</v>
      </c>
    </row>
    <row r="2151" spans="1:5" ht="18.5" x14ac:dyDescent="0.45">
      <c r="A2151" s="3">
        <v>2145</v>
      </c>
      <c r="B2151" s="9">
        <f t="shared" si="136"/>
        <v>0.9999620242843591</v>
      </c>
      <c r="C2151" s="3">
        <f t="shared" si="135"/>
        <v>4441431.3270614091</v>
      </c>
      <c r="D2151" s="3">
        <f t="shared" si="137"/>
        <v>0.28697525802999735</v>
      </c>
      <c r="E2151" s="8">
        <f t="shared" si="138"/>
        <v>306.42857142857144</v>
      </c>
    </row>
    <row r="2152" spans="1:5" ht="18.5" x14ac:dyDescent="0.45">
      <c r="A2152" s="3">
        <v>2146</v>
      </c>
      <c r="B2152" s="9">
        <f t="shared" si="136"/>
        <v>0.9999620887613212</v>
      </c>
      <c r="C2152" s="3">
        <f t="shared" si="135"/>
        <v>4441431.6134422841</v>
      </c>
      <c r="D2152" s="3">
        <f t="shared" si="137"/>
        <v>0.28638087492436171</v>
      </c>
      <c r="E2152" s="8">
        <f t="shared" si="138"/>
        <v>306.57142857142856</v>
      </c>
    </row>
    <row r="2153" spans="1:5" ht="18.5" x14ac:dyDescent="0.45">
      <c r="A2153" s="3">
        <v>2147</v>
      </c>
      <c r="B2153" s="9">
        <f t="shared" si="136"/>
        <v>0.99996215310479009</v>
      </c>
      <c r="C2153" s="3">
        <f t="shared" si="135"/>
        <v>4441431.8992302353</v>
      </c>
      <c r="D2153" s="3">
        <f t="shared" si="137"/>
        <v>0.28578795120120049</v>
      </c>
      <c r="E2153" s="8">
        <f t="shared" si="138"/>
        <v>306.71428571428572</v>
      </c>
    </row>
    <row r="2154" spans="1:5" ht="18.5" x14ac:dyDescent="0.45">
      <c r="A2154" s="3">
        <v>2148</v>
      </c>
      <c r="B2154" s="9">
        <f t="shared" si="136"/>
        <v>0.9999622173150936</v>
      </c>
      <c r="C2154" s="3">
        <f t="shared" si="135"/>
        <v>4441432.1844267193</v>
      </c>
      <c r="D2154" s="3">
        <f t="shared" si="137"/>
        <v>0.28519648406654596</v>
      </c>
      <c r="E2154" s="8">
        <f t="shared" si="138"/>
        <v>306.85714285714283</v>
      </c>
    </row>
    <row r="2155" spans="1:5" ht="18.5" x14ac:dyDescent="0.45">
      <c r="A2155" s="3">
        <v>2149</v>
      </c>
      <c r="B2155" s="9">
        <f t="shared" si="136"/>
        <v>0.99996228139255872</v>
      </c>
      <c r="C2155" s="3">
        <f t="shared" si="135"/>
        <v>4441432.4690331891</v>
      </c>
      <c r="D2155" s="3">
        <f t="shared" si="137"/>
        <v>0.28460646979510784</v>
      </c>
      <c r="E2155" s="8">
        <f t="shared" si="138"/>
        <v>307</v>
      </c>
    </row>
    <row r="2156" spans="1:5" ht="18.5" x14ac:dyDescent="0.45">
      <c r="A2156" s="3">
        <v>2150</v>
      </c>
      <c r="B2156" s="9">
        <f t="shared" si="136"/>
        <v>0.99996234533751116</v>
      </c>
      <c r="C2156" s="3">
        <f t="shared" si="135"/>
        <v>4441432.7530510891</v>
      </c>
      <c r="D2156" s="3">
        <f t="shared" si="137"/>
        <v>0.28401790000498295</v>
      </c>
      <c r="E2156" s="8">
        <f t="shared" si="138"/>
        <v>307.14285714285717</v>
      </c>
    </row>
    <row r="2157" spans="1:5" ht="18.5" x14ac:dyDescent="0.45">
      <c r="A2157" s="3">
        <v>2151</v>
      </c>
      <c r="B2157" s="9">
        <f t="shared" si="136"/>
        <v>0.99996240915027612</v>
      </c>
      <c r="C2157" s="3">
        <f t="shared" si="135"/>
        <v>4441433.0364818666</v>
      </c>
      <c r="D2157" s="3">
        <f t="shared" si="137"/>
        <v>0.28343077749013901</v>
      </c>
      <c r="E2157" s="8">
        <f t="shared" si="138"/>
        <v>307.28571428571428</v>
      </c>
    </row>
    <row r="2158" spans="1:5" ht="18.5" x14ac:dyDescent="0.45">
      <c r="A2158" s="3">
        <v>2152</v>
      </c>
      <c r="B2158" s="9">
        <f t="shared" si="136"/>
        <v>0.99996247283117756</v>
      </c>
      <c r="C2158" s="3">
        <f t="shared" si="135"/>
        <v>4441433.3193269586</v>
      </c>
      <c r="D2158" s="3">
        <f t="shared" si="137"/>
        <v>0.2828450920060277</v>
      </c>
      <c r="E2158" s="8">
        <f t="shared" si="138"/>
        <v>307.42857142857144</v>
      </c>
    </row>
    <row r="2159" spans="1:5" ht="18.5" x14ac:dyDescent="0.45">
      <c r="A2159" s="3">
        <v>2153</v>
      </c>
      <c r="B2159" s="9">
        <f t="shared" si="136"/>
        <v>0.99996253638053867</v>
      </c>
      <c r="C2159" s="3">
        <f t="shared" si="135"/>
        <v>4441433.6015878003</v>
      </c>
      <c r="D2159" s="3">
        <f t="shared" si="137"/>
        <v>0.28226084169000387</v>
      </c>
      <c r="E2159" s="8">
        <f t="shared" si="138"/>
        <v>307.57142857142856</v>
      </c>
    </row>
    <row r="2160" spans="1:5" ht="18.5" x14ac:dyDescent="0.45">
      <c r="A2160" s="3">
        <v>2154</v>
      </c>
      <c r="B2160" s="9">
        <f t="shared" si="136"/>
        <v>0.99996259979868163</v>
      </c>
      <c r="C2160" s="3">
        <f t="shared" si="135"/>
        <v>4441433.8832658241</v>
      </c>
      <c r="D2160" s="3">
        <f t="shared" si="137"/>
        <v>0.2816780237480998</v>
      </c>
      <c r="E2160" s="8">
        <f t="shared" si="138"/>
        <v>307.71428571428572</v>
      </c>
    </row>
    <row r="2161" spans="1:5" ht="18.5" x14ac:dyDescent="0.45">
      <c r="A2161" s="3">
        <v>2155</v>
      </c>
      <c r="B2161" s="9">
        <f t="shared" si="136"/>
        <v>0.99996266308592785</v>
      </c>
      <c r="C2161" s="3">
        <f t="shared" si="135"/>
        <v>4441434.1643624576</v>
      </c>
      <c r="D2161" s="3">
        <f t="shared" si="137"/>
        <v>0.28109663352370262</v>
      </c>
      <c r="E2161" s="8">
        <f t="shared" si="138"/>
        <v>307.85714285714283</v>
      </c>
    </row>
    <row r="2162" spans="1:5" ht="18.5" x14ac:dyDescent="0.45">
      <c r="A2162" s="3">
        <v>2156</v>
      </c>
      <c r="B2162" s="9">
        <f t="shared" si="136"/>
        <v>0.99996272624259763</v>
      </c>
      <c r="C2162" s="3">
        <f t="shared" si="135"/>
        <v>4441434.4448791221</v>
      </c>
      <c r="D2162" s="3">
        <f t="shared" si="137"/>
        <v>0.2805166644975543</v>
      </c>
      <c r="E2162" s="8">
        <f t="shared" si="138"/>
        <v>308</v>
      </c>
    </row>
    <row r="2163" spans="1:5" ht="18.5" x14ac:dyDescent="0.45">
      <c r="A2163" s="3">
        <v>2157</v>
      </c>
      <c r="B2163" s="9">
        <f t="shared" si="136"/>
        <v>0.99996278926901061</v>
      </c>
      <c r="C2163" s="3">
        <f t="shared" si="135"/>
        <v>4441434.7248172378</v>
      </c>
      <c r="D2163" s="3">
        <f t="shared" si="137"/>
        <v>0.27993811573833227</v>
      </c>
      <c r="E2163" s="8">
        <f t="shared" si="138"/>
        <v>308.14285714285717</v>
      </c>
    </row>
    <row r="2164" spans="1:5" ht="18.5" x14ac:dyDescent="0.45">
      <c r="A2164" s="3">
        <v>2158</v>
      </c>
      <c r="B2164" s="9">
        <f t="shared" si="136"/>
        <v>0.99996285216548519</v>
      </c>
      <c r="C2164" s="3">
        <f t="shared" si="135"/>
        <v>4441435.0041782195</v>
      </c>
      <c r="D2164" s="3">
        <f t="shared" si="137"/>
        <v>0.27936098165810108</v>
      </c>
      <c r="E2164" s="8">
        <f t="shared" si="138"/>
        <v>308.28571428571428</v>
      </c>
    </row>
    <row r="2165" spans="1:5" ht="18.5" x14ac:dyDescent="0.45">
      <c r="A2165" s="3">
        <v>2159</v>
      </c>
      <c r="B2165" s="9">
        <f t="shared" si="136"/>
        <v>0.99996291493233913</v>
      </c>
      <c r="C2165" s="3">
        <f t="shared" si="135"/>
        <v>4441435.2829634771</v>
      </c>
      <c r="D2165" s="3">
        <f t="shared" si="137"/>
        <v>0.27878525760024786</v>
      </c>
      <c r="E2165" s="8">
        <f t="shared" si="138"/>
        <v>308.42857142857144</v>
      </c>
    </row>
    <row r="2166" spans="1:5" ht="18.5" x14ac:dyDescent="0.45">
      <c r="A2166" s="3">
        <v>2160</v>
      </c>
      <c r="B2166" s="9">
        <f t="shared" si="136"/>
        <v>0.99996297756988928</v>
      </c>
      <c r="C2166" s="3">
        <f t="shared" si="135"/>
        <v>4441435.5611744206</v>
      </c>
      <c r="D2166" s="3">
        <f t="shared" si="137"/>
        <v>0.27821094356477261</v>
      </c>
      <c r="E2166" s="8">
        <f t="shared" si="138"/>
        <v>308.57142857142856</v>
      </c>
    </row>
    <row r="2167" spans="1:5" ht="18.5" x14ac:dyDescent="0.45">
      <c r="A2167" s="3">
        <v>2161</v>
      </c>
      <c r="B2167" s="9">
        <f t="shared" si="136"/>
        <v>0.99996304007845138</v>
      </c>
      <c r="C2167" s="3">
        <f t="shared" si="135"/>
        <v>4441435.8388124499</v>
      </c>
      <c r="D2167" s="3">
        <f t="shared" si="137"/>
        <v>0.277638029307127</v>
      </c>
      <c r="E2167" s="8">
        <f t="shared" si="138"/>
        <v>308.71428571428572</v>
      </c>
    </row>
    <row r="2168" spans="1:5" ht="18.5" x14ac:dyDescent="0.45">
      <c r="A2168" s="3">
        <v>2162</v>
      </c>
      <c r="B2168" s="9">
        <f t="shared" si="136"/>
        <v>0.99996310245834052</v>
      </c>
      <c r="C2168" s="3">
        <f t="shared" si="135"/>
        <v>4441436.1158789657</v>
      </c>
      <c r="D2168" s="3">
        <f t="shared" si="137"/>
        <v>0.27706651575863361</v>
      </c>
      <c r="E2168" s="8">
        <f t="shared" si="138"/>
        <v>308.85714285714283</v>
      </c>
    </row>
    <row r="2169" spans="1:5" ht="18.5" x14ac:dyDescent="0.45">
      <c r="A2169" s="3">
        <v>2163</v>
      </c>
      <c r="B2169" s="9">
        <f t="shared" si="136"/>
        <v>0.99996316470987079</v>
      </c>
      <c r="C2169" s="3">
        <f t="shared" si="135"/>
        <v>4441436.3923753621</v>
      </c>
      <c r="D2169" s="3">
        <f t="shared" si="137"/>
        <v>0.27649639640003443</v>
      </c>
      <c r="E2169" s="8">
        <f t="shared" si="138"/>
        <v>309</v>
      </c>
    </row>
    <row r="2170" spans="1:5" ht="18.5" x14ac:dyDescent="0.45">
      <c r="A2170" s="3">
        <v>2164</v>
      </c>
      <c r="B2170" s="9">
        <f t="shared" si="136"/>
        <v>0.99996322683335526</v>
      </c>
      <c r="C2170" s="3">
        <f t="shared" si="135"/>
        <v>4441436.6683030305</v>
      </c>
      <c r="D2170" s="3">
        <f t="shared" si="137"/>
        <v>0.27592766843736172</v>
      </c>
      <c r="E2170" s="8">
        <f t="shared" si="138"/>
        <v>309.14285714285717</v>
      </c>
    </row>
    <row r="2171" spans="1:5" ht="18.5" x14ac:dyDescent="0.45">
      <c r="A2171" s="3">
        <v>2165</v>
      </c>
      <c r="B2171" s="9">
        <f t="shared" si="136"/>
        <v>0.99996328882910646</v>
      </c>
      <c r="C2171" s="3">
        <f t="shared" si="135"/>
        <v>4441436.9436633596</v>
      </c>
      <c r="D2171" s="3">
        <f t="shared" si="137"/>
        <v>0.27536032907664776</v>
      </c>
      <c r="E2171" s="8">
        <f t="shared" si="138"/>
        <v>309.28571428571428</v>
      </c>
    </row>
    <row r="2172" spans="1:5" ht="18.5" x14ac:dyDescent="0.45">
      <c r="A2172" s="3">
        <v>2166</v>
      </c>
      <c r="B2172" s="9">
        <f t="shared" si="136"/>
        <v>0.99996335069743569</v>
      </c>
      <c r="C2172" s="3">
        <f t="shared" si="135"/>
        <v>4441437.2184577305</v>
      </c>
      <c r="D2172" s="3">
        <f t="shared" si="137"/>
        <v>0.27479437086731195</v>
      </c>
      <c r="E2172" s="8">
        <f t="shared" si="138"/>
        <v>309.42857142857144</v>
      </c>
    </row>
    <row r="2173" spans="1:5" ht="18.5" x14ac:dyDescent="0.45">
      <c r="A2173" s="3">
        <v>2167</v>
      </c>
      <c r="B2173" s="9">
        <f t="shared" si="136"/>
        <v>0.9999634124386535</v>
      </c>
      <c r="C2173" s="3">
        <f t="shared" si="135"/>
        <v>4441437.4926875234</v>
      </c>
      <c r="D2173" s="3">
        <f t="shared" si="137"/>
        <v>0.27422979287803173</v>
      </c>
      <c r="E2173" s="8">
        <f t="shared" si="138"/>
        <v>309.57142857142856</v>
      </c>
    </row>
    <row r="2174" spans="1:5" ht="18.5" x14ac:dyDescent="0.45">
      <c r="A2174" s="3">
        <v>2168</v>
      </c>
      <c r="B2174" s="9">
        <f t="shared" si="136"/>
        <v>0.99996347405306962</v>
      </c>
      <c r="C2174" s="3">
        <f t="shared" si="135"/>
        <v>4441437.7663541138</v>
      </c>
      <c r="D2174" s="3">
        <f t="shared" si="137"/>
        <v>0.27366659045219421</v>
      </c>
      <c r="E2174" s="8">
        <f t="shared" si="138"/>
        <v>309.71428571428572</v>
      </c>
    </row>
    <row r="2175" spans="1:5" ht="18.5" x14ac:dyDescent="0.45">
      <c r="A2175" s="3">
        <v>2169</v>
      </c>
      <c r="B2175" s="9">
        <f t="shared" si="136"/>
        <v>0.99996353554099282</v>
      </c>
      <c r="C2175" s="3">
        <f t="shared" si="135"/>
        <v>4441438.0394588737</v>
      </c>
      <c r="D2175" s="3">
        <f t="shared" si="137"/>
        <v>0.27310475986450911</v>
      </c>
      <c r="E2175" s="8">
        <f t="shared" si="138"/>
        <v>309.85714285714283</v>
      </c>
    </row>
    <row r="2176" spans="1:5" ht="18.5" x14ac:dyDescent="0.45">
      <c r="A2176" s="3">
        <v>2170</v>
      </c>
      <c r="B2176" s="9">
        <f t="shared" si="136"/>
        <v>0.99996359690273096</v>
      </c>
      <c r="C2176" s="3">
        <f t="shared" si="135"/>
        <v>4441438.3120031701</v>
      </c>
      <c r="D2176" s="3">
        <f t="shared" si="137"/>
        <v>0.27254429645836353</v>
      </c>
      <c r="E2176" s="8">
        <f t="shared" si="138"/>
        <v>310</v>
      </c>
    </row>
    <row r="2177" spans="1:5" ht="18.5" x14ac:dyDescent="0.45">
      <c r="A2177" s="3">
        <v>2171</v>
      </c>
      <c r="B2177" s="9">
        <f t="shared" si="136"/>
        <v>0.99996365813859112</v>
      </c>
      <c r="C2177" s="3">
        <f t="shared" si="135"/>
        <v>4441438.5839883666</v>
      </c>
      <c r="D2177" s="3">
        <f t="shared" si="137"/>
        <v>0.2719851965084672</v>
      </c>
      <c r="E2177" s="8">
        <f t="shared" si="138"/>
        <v>310.14285714285717</v>
      </c>
    </row>
    <row r="2178" spans="1:5" ht="18.5" x14ac:dyDescent="0.45">
      <c r="A2178" s="3">
        <v>2172</v>
      </c>
      <c r="B2178" s="9">
        <f t="shared" si="136"/>
        <v>0.99996371924887961</v>
      </c>
      <c r="C2178" s="3">
        <f t="shared" si="135"/>
        <v>4441438.8554158239</v>
      </c>
      <c r="D2178" s="3">
        <f t="shared" si="137"/>
        <v>0.27142745722085238</v>
      </c>
      <c r="E2178" s="8">
        <f t="shared" si="138"/>
        <v>310.28571428571428</v>
      </c>
    </row>
    <row r="2179" spans="1:5" ht="18.5" x14ac:dyDescent="0.45">
      <c r="A2179" s="3">
        <v>2173</v>
      </c>
      <c r="B2179" s="9">
        <f t="shared" si="136"/>
        <v>0.99996378023390153</v>
      </c>
      <c r="C2179" s="3">
        <f t="shared" si="135"/>
        <v>4441439.1262868969</v>
      </c>
      <c r="D2179" s="3">
        <f t="shared" si="137"/>
        <v>0.27087107300758362</v>
      </c>
      <c r="E2179" s="8">
        <f t="shared" si="138"/>
        <v>310.42857142857144</v>
      </c>
    </row>
    <row r="2180" spans="1:5" ht="18.5" x14ac:dyDescent="0.45">
      <c r="A2180" s="3">
        <v>2174</v>
      </c>
      <c r="B2180" s="9">
        <f t="shared" si="136"/>
        <v>0.99996384109396153</v>
      </c>
      <c r="C2180" s="3">
        <f t="shared" si="135"/>
        <v>4441439.3966029398</v>
      </c>
      <c r="D2180" s="3">
        <f t="shared" si="137"/>
        <v>0.27031604293733835</v>
      </c>
      <c r="E2180" s="8">
        <f t="shared" si="138"/>
        <v>310.57142857142856</v>
      </c>
    </row>
    <row r="2181" spans="1:5" ht="18.5" x14ac:dyDescent="0.45">
      <c r="A2181" s="3">
        <v>2175</v>
      </c>
      <c r="B2181" s="9">
        <f t="shared" si="136"/>
        <v>0.99996390182936323</v>
      </c>
      <c r="C2181" s="3">
        <f t="shared" si="135"/>
        <v>4441439.6663652994</v>
      </c>
      <c r="D2181" s="3">
        <f t="shared" si="137"/>
        <v>0.26976235955953598</v>
      </c>
      <c r="E2181" s="8">
        <f t="shared" si="138"/>
        <v>310.71428571428572</v>
      </c>
    </row>
    <row r="2182" spans="1:5" ht="18.5" x14ac:dyDescent="0.45">
      <c r="A2182" s="3">
        <v>2176</v>
      </c>
      <c r="B2182" s="9">
        <f t="shared" si="136"/>
        <v>0.99996396244040919</v>
      </c>
      <c r="C2182" s="3">
        <f t="shared" si="135"/>
        <v>4441439.9355753213</v>
      </c>
      <c r="D2182" s="3">
        <f t="shared" si="137"/>
        <v>0.26921002194285393</v>
      </c>
      <c r="E2182" s="8">
        <f t="shared" si="138"/>
        <v>310.85714285714283</v>
      </c>
    </row>
    <row r="2183" spans="1:5" ht="18.5" x14ac:dyDescent="0.45">
      <c r="A2183" s="3">
        <v>2177</v>
      </c>
      <c r="B2183" s="9">
        <f t="shared" si="136"/>
        <v>0.99996402292740139</v>
      </c>
      <c r="C2183" s="3">
        <f t="shared" si="135"/>
        <v>4441440.2042343458</v>
      </c>
      <c r="D2183" s="3">
        <f t="shared" si="137"/>
        <v>0.26865902449935675</v>
      </c>
      <c r="E2183" s="8">
        <f t="shared" si="138"/>
        <v>311</v>
      </c>
    </row>
    <row r="2184" spans="1:5" ht="18.5" x14ac:dyDescent="0.45">
      <c r="A2184" s="3">
        <v>2178</v>
      </c>
      <c r="B2184" s="9">
        <f t="shared" si="136"/>
        <v>0.99996408329064101</v>
      </c>
      <c r="C2184" s="3">
        <f t="shared" ref="C2184:C2247" si="139">$E$3*B2184</f>
        <v>4441440.4723437112</v>
      </c>
      <c r="D2184" s="3">
        <f t="shared" si="137"/>
        <v>0.26810936536639929</v>
      </c>
      <c r="E2184" s="8">
        <f t="shared" si="138"/>
        <v>311.14285714285717</v>
      </c>
    </row>
    <row r="2185" spans="1:5" ht="18.5" x14ac:dyDescent="0.45">
      <c r="A2185" s="3">
        <v>2179</v>
      </c>
      <c r="B2185" s="9">
        <f t="shared" si="136"/>
        <v>0.99996414353042806</v>
      </c>
      <c r="C2185" s="3">
        <f t="shared" si="139"/>
        <v>4441440.7399047492</v>
      </c>
      <c r="D2185" s="3">
        <f t="shared" si="137"/>
        <v>0.26756103802472353</v>
      </c>
      <c r="E2185" s="8">
        <f t="shared" si="138"/>
        <v>311.28571428571428</v>
      </c>
    </row>
    <row r="2186" spans="1:5" ht="18.5" x14ac:dyDescent="0.45">
      <c r="A2186" s="3">
        <v>2180</v>
      </c>
      <c r="B2186" s="9">
        <f t="shared" si="136"/>
        <v>0.99996420364706184</v>
      </c>
      <c r="C2186" s="3">
        <f t="shared" si="139"/>
        <v>4441441.0069187898</v>
      </c>
      <c r="D2186" s="3">
        <f t="shared" si="137"/>
        <v>0.26701404061168432</v>
      </c>
      <c r="E2186" s="8">
        <f t="shared" si="138"/>
        <v>311.42857142857144</v>
      </c>
    </row>
    <row r="2187" spans="1:5" ht="18.5" x14ac:dyDescent="0.45">
      <c r="A2187" s="3">
        <v>2181</v>
      </c>
      <c r="B2187" s="9">
        <f t="shared" si="136"/>
        <v>0.99996426364084112</v>
      </c>
      <c r="C2187" s="3">
        <f t="shared" si="139"/>
        <v>4441441.2733871602</v>
      </c>
      <c r="D2187" s="3">
        <f t="shared" si="137"/>
        <v>0.26646837033331394</v>
      </c>
      <c r="E2187" s="8">
        <f t="shared" si="138"/>
        <v>311.57142857142856</v>
      </c>
    </row>
    <row r="2188" spans="1:5" ht="18.5" x14ac:dyDescent="0.45">
      <c r="A2188" s="3">
        <v>2182</v>
      </c>
      <c r="B2188" s="9">
        <f t="shared" si="136"/>
        <v>0.99996432351206332</v>
      </c>
      <c r="C2188" s="3">
        <f t="shared" si="139"/>
        <v>4441441.5393111808</v>
      </c>
      <c r="D2188" s="3">
        <f t="shared" si="137"/>
        <v>0.26592402067035437</v>
      </c>
      <c r="E2188" s="8">
        <f t="shared" si="138"/>
        <v>311.71428571428572</v>
      </c>
    </row>
    <row r="2189" spans="1:5" ht="18.5" x14ac:dyDescent="0.45">
      <c r="A2189" s="3">
        <v>2183</v>
      </c>
      <c r="B2189" s="9">
        <f t="shared" si="136"/>
        <v>0.99996438326102544</v>
      </c>
      <c r="C2189" s="3">
        <f t="shared" si="139"/>
        <v>4441441.8046921706</v>
      </c>
      <c r="D2189" s="3">
        <f t="shared" si="137"/>
        <v>0.26538098976016045</v>
      </c>
      <c r="E2189" s="8">
        <f t="shared" si="138"/>
        <v>311.85714285714283</v>
      </c>
    </row>
    <row r="2190" spans="1:5" ht="18.5" x14ac:dyDescent="0.45">
      <c r="A2190" s="3">
        <v>2184</v>
      </c>
      <c r="B2190" s="9">
        <f t="shared" si="136"/>
        <v>0.99996444288802333</v>
      </c>
      <c r="C2190" s="3">
        <f t="shared" si="139"/>
        <v>4441442.0695314445</v>
      </c>
      <c r="D2190" s="3">
        <f t="shared" si="137"/>
        <v>0.26483927387744188</v>
      </c>
      <c r="E2190" s="8">
        <f t="shared" si="138"/>
        <v>312</v>
      </c>
    </row>
    <row r="2191" spans="1:5" ht="18.5" x14ac:dyDescent="0.45">
      <c r="A2191" s="3">
        <v>2185</v>
      </c>
      <c r="B2191" s="9">
        <f t="shared" si="136"/>
        <v>0.99996450239335233</v>
      </c>
      <c r="C2191" s="3">
        <f t="shared" si="139"/>
        <v>4441442.3338303138</v>
      </c>
      <c r="D2191" s="3">
        <f t="shared" si="137"/>
        <v>0.26429886929690838</v>
      </c>
      <c r="E2191" s="8">
        <f t="shared" si="138"/>
        <v>312.14285714285717</v>
      </c>
    </row>
    <row r="2192" spans="1:5" ht="18.5" x14ac:dyDescent="0.45">
      <c r="A2192" s="3">
        <v>2186</v>
      </c>
      <c r="B2192" s="9">
        <f t="shared" si="136"/>
        <v>0.99996456177730653</v>
      </c>
      <c r="C2192" s="3">
        <f t="shared" si="139"/>
        <v>4441442.5975900851</v>
      </c>
      <c r="D2192" s="3">
        <f t="shared" si="137"/>
        <v>0.26375977136194706</v>
      </c>
      <c r="E2192" s="8">
        <f t="shared" si="138"/>
        <v>312.28571428571428</v>
      </c>
    </row>
    <row r="2193" spans="1:5" ht="18.5" x14ac:dyDescent="0.45">
      <c r="A2193" s="3">
        <v>2187</v>
      </c>
      <c r="B2193" s="9">
        <f t="shared" si="136"/>
        <v>0.99996462104017969</v>
      </c>
      <c r="C2193" s="3">
        <f t="shared" si="139"/>
        <v>4441442.8608120624</v>
      </c>
      <c r="D2193" s="3">
        <f t="shared" si="137"/>
        <v>0.2632219772785902</v>
      </c>
      <c r="E2193" s="8">
        <f t="shared" si="138"/>
        <v>312.42857142857144</v>
      </c>
    </row>
    <row r="2194" spans="1:5" ht="18.5" x14ac:dyDescent="0.45">
      <c r="A2194" s="3">
        <v>2188</v>
      </c>
      <c r="B2194" s="9">
        <f t="shared" si="136"/>
        <v>0.99996468018226436</v>
      </c>
      <c r="C2194" s="3">
        <f t="shared" si="139"/>
        <v>4441443.1234975457</v>
      </c>
      <c r="D2194" s="3">
        <f t="shared" si="137"/>
        <v>0.26268548332154751</v>
      </c>
      <c r="E2194" s="8">
        <f t="shared" si="138"/>
        <v>312.57142857142856</v>
      </c>
    </row>
    <row r="2195" spans="1:5" ht="18.5" x14ac:dyDescent="0.45">
      <c r="A2195" s="3">
        <v>2189</v>
      </c>
      <c r="B2195" s="9">
        <f t="shared" si="136"/>
        <v>0.99996473920385243</v>
      </c>
      <c r="C2195" s="3">
        <f t="shared" si="139"/>
        <v>4441443.3856478306</v>
      </c>
      <c r="D2195" s="3">
        <f t="shared" si="137"/>
        <v>0.2621502848342061</v>
      </c>
      <c r="E2195" s="8">
        <f t="shared" si="138"/>
        <v>312.71428571428572</v>
      </c>
    </row>
    <row r="2196" spans="1:5" ht="18.5" x14ac:dyDescent="0.45">
      <c r="A2196" s="3">
        <v>2190</v>
      </c>
      <c r="B2196" s="9">
        <f t="shared" si="136"/>
        <v>0.99996479810523498</v>
      </c>
      <c r="C2196" s="3">
        <f t="shared" si="139"/>
        <v>4441443.6472642114</v>
      </c>
      <c r="D2196" s="3">
        <f t="shared" si="137"/>
        <v>0.26161638088524342</v>
      </c>
      <c r="E2196" s="8">
        <f t="shared" si="138"/>
        <v>312.85714285714283</v>
      </c>
    </row>
    <row r="2197" spans="1:5" ht="18.5" x14ac:dyDescent="0.45">
      <c r="A2197" s="3">
        <v>2191</v>
      </c>
      <c r="B2197" s="9">
        <f t="shared" si="136"/>
        <v>0.99996485688670211</v>
      </c>
      <c r="C2197" s="3">
        <f t="shared" si="139"/>
        <v>4441443.9083479764</v>
      </c>
      <c r="D2197" s="3">
        <f t="shared" si="137"/>
        <v>0.26108376495540142</v>
      </c>
      <c r="E2197" s="8">
        <f t="shared" si="138"/>
        <v>313</v>
      </c>
    </row>
    <row r="2198" spans="1:5" ht="18.5" x14ac:dyDescent="0.45">
      <c r="A2198" s="3">
        <v>2192</v>
      </c>
      <c r="B2198" s="9">
        <f t="shared" si="136"/>
        <v>0.99996491554854339</v>
      </c>
      <c r="C2198" s="3">
        <f t="shared" si="139"/>
        <v>4441444.1689004106</v>
      </c>
      <c r="D2198" s="3">
        <f t="shared" si="137"/>
        <v>0.26055243425071239</v>
      </c>
      <c r="E2198" s="8">
        <f t="shared" si="138"/>
        <v>313.14285714285717</v>
      </c>
    </row>
    <row r="2199" spans="1:5" ht="18.5" x14ac:dyDescent="0.45">
      <c r="A2199" s="3">
        <v>2193</v>
      </c>
      <c r="B2199" s="9">
        <f t="shared" ref="B2199:B2262" si="140">LOGNORMDIST(A2199,$A$3,$B$3)</f>
        <v>0.99996497409104745</v>
      </c>
      <c r="C2199" s="3">
        <f t="shared" si="139"/>
        <v>4441444.4289227966</v>
      </c>
      <c r="D2199" s="3">
        <f t="shared" ref="D2199:D2262" si="141">C2199-C2198</f>
        <v>0.26002238597720861</v>
      </c>
      <c r="E2199" s="8">
        <f t="shared" ref="E2199:E2262" si="142">A2199/7</f>
        <v>313.28571428571428</v>
      </c>
    </row>
    <row r="2200" spans="1:5" ht="18.5" x14ac:dyDescent="0.45">
      <c r="A2200" s="3">
        <v>2194</v>
      </c>
      <c r="B2200" s="9">
        <f t="shared" si="140"/>
        <v>0.99996503251450197</v>
      </c>
      <c r="C2200" s="3">
        <f t="shared" si="139"/>
        <v>4441444.6884164121</v>
      </c>
      <c r="D2200" s="3">
        <f t="shared" si="141"/>
        <v>0.25949361547827721</v>
      </c>
      <c r="E2200" s="8">
        <f t="shared" si="142"/>
        <v>313.42857142857144</v>
      </c>
    </row>
    <row r="2201" spans="1:5" ht="18.5" x14ac:dyDescent="0.45">
      <c r="A2201" s="3">
        <v>2195</v>
      </c>
      <c r="B2201" s="9">
        <f t="shared" si="140"/>
        <v>0.99996509081919394</v>
      </c>
      <c r="C2201" s="3">
        <f t="shared" si="139"/>
        <v>4441444.9473825321</v>
      </c>
      <c r="D2201" s="3">
        <f t="shared" si="141"/>
        <v>0.25896611995995045</v>
      </c>
      <c r="E2201" s="8">
        <f t="shared" si="142"/>
        <v>313.57142857142856</v>
      </c>
    </row>
    <row r="2202" spans="1:5" ht="18.5" x14ac:dyDescent="0.45">
      <c r="A2202" s="3">
        <v>2196</v>
      </c>
      <c r="B2202" s="9">
        <f t="shared" si="140"/>
        <v>0.99996514900540967</v>
      </c>
      <c r="C2202" s="3">
        <f t="shared" si="139"/>
        <v>4441445.2058224278</v>
      </c>
      <c r="D2202" s="3">
        <f t="shared" si="141"/>
        <v>0.25843989569693804</v>
      </c>
      <c r="E2202" s="8">
        <f t="shared" si="142"/>
        <v>313.71428571428572</v>
      </c>
    </row>
    <row r="2203" spans="1:5" ht="18.5" x14ac:dyDescent="0.45">
      <c r="A2203" s="3">
        <v>2197</v>
      </c>
      <c r="B2203" s="9">
        <f t="shared" si="140"/>
        <v>0.99996520707343439</v>
      </c>
      <c r="C2203" s="3">
        <f t="shared" si="139"/>
        <v>4441445.4637373658</v>
      </c>
      <c r="D2203" s="3">
        <f t="shared" si="141"/>
        <v>0.25791493803262711</v>
      </c>
      <c r="E2203" s="8">
        <f t="shared" si="142"/>
        <v>313.85714285714283</v>
      </c>
    </row>
    <row r="2204" spans="1:5" ht="18.5" x14ac:dyDescent="0.45">
      <c r="A2204" s="3">
        <v>2198</v>
      </c>
      <c r="B2204" s="9">
        <f t="shared" si="140"/>
        <v>0.99996526502355276</v>
      </c>
      <c r="C2204" s="3">
        <f t="shared" si="139"/>
        <v>4441445.7211286118</v>
      </c>
      <c r="D2204" s="3">
        <f t="shared" si="141"/>
        <v>0.25739124603569508</v>
      </c>
      <c r="E2204" s="8">
        <f t="shared" si="142"/>
        <v>314</v>
      </c>
    </row>
    <row r="2205" spans="1:5" ht="18.5" x14ac:dyDescent="0.45">
      <c r="A2205" s="3">
        <v>2199</v>
      </c>
      <c r="B2205" s="9">
        <f t="shared" si="140"/>
        <v>0.99996532285604878</v>
      </c>
      <c r="C2205" s="3">
        <f t="shared" si="139"/>
        <v>4441445.9779974259</v>
      </c>
      <c r="D2205" s="3">
        <f t="shared" si="141"/>
        <v>0.2568688141182065</v>
      </c>
      <c r="E2205" s="8">
        <f t="shared" si="142"/>
        <v>314.14285714285717</v>
      </c>
    </row>
    <row r="2206" spans="1:5" ht="18.5" x14ac:dyDescent="0.45">
      <c r="A2206" s="3">
        <v>2200</v>
      </c>
      <c r="B2206" s="9">
        <f t="shared" si="140"/>
        <v>0.9999653805712051</v>
      </c>
      <c r="C2206" s="3">
        <f t="shared" si="139"/>
        <v>4441446.2343450645</v>
      </c>
      <c r="D2206" s="3">
        <f t="shared" si="141"/>
        <v>0.25634763855487108</v>
      </c>
      <c r="E2206" s="8">
        <f t="shared" si="142"/>
        <v>314.28571428571428</v>
      </c>
    </row>
    <row r="2207" spans="1:5" ht="18.5" x14ac:dyDescent="0.45">
      <c r="A2207" s="3">
        <v>2201</v>
      </c>
      <c r="B2207" s="9">
        <f t="shared" si="140"/>
        <v>0.99996543816930417</v>
      </c>
      <c r="C2207" s="3">
        <f t="shared" si="139"/>
        <v>4441446.4901727811</v>
      </c>
      <c r="D2207" s="3">
        <f t="shared" si="141"/>
        <v>0.2558277165517211</v>
      </c>
      <c r="E2207" s="8">
        <f t="shared" si="142"/>
        <v>314.42857142857144</v>
      </c>
    </row>
    <row r="2208" spans="1:5" ht="18.5" x14ac:dyDescent="0.45">
      <c r="A2208" s="3">
        <v>2202</v>
      </c>
      <c r="B2208" s="9">
        <f t="shared" si="140"/>
        <v>0.99996549565062742</v>
      </c>
      <c r="C2208" s="3">
        <f t="shared" si="139"/>
        <v>4441446.7454818264</v>
      </c>
      <c r="D2208" s="3">
        <f t="shared" si="141"/>
        <v>0.25530904531478882</v>
      </c>
      <c r="E2208" s="8">
        <f t="shared" si="142"/>
        <v>314.57142857142856</v>
      </c>
    </row>
    <row r="2209" spans="1:5" ht="18.5" x14ac:dyDescent="0.45">
      <c r="A2209" s="3">
        <v>2203</v>
      </c>
      <c r="B2209" s="9">
        <f t="shared" si="140"/>
        <v>0.99996555301545531</v>
      </c>
      <c r="C2209" s="3">
        <f t="shared" si="139"/>
        <v>4441447.0002734466</v>
      </c>
      <c r="D2209" s="3">
        <f t="shared" si="141"/>
        <v>0.25479162018746138</v>
      </c>
      <c r="E2209" s="8">
        <f t="shared" si="142"/>
        <v>314.71428571428572</v>
      </c>
    </row>
    <row r="2210" spans="1:5" ht="18.5" x14ac:dyDescent="0.45">
      <c r="A2210" s="3">
        <v>2204</v>
      </c>
      <c r="B2210" s="9">
        <f t="shared" si="140"/>
        <v>0.99996561026406794</v>
      </c>
      <c r="C2210" s="3">
        <f t="shared" si="139"/>
        <v>4441447.254548884</v>
      </c>
      <c r="D2210" s="3">
        <f t="shared" si="141"/>
        <v>0.25427543744444847</v>
      </c>
      <c r="E2210" s="8">
        <f t="shared" si="142"/>
        <v>314.85714285714283</v>
      </c>
    </row>
    <row r="2211" spans="1:5" ht="18.5" x14ac:dyDescent="0.45">
      <c r="A2211" s="3">
        <v>2205</v>
      </c>
      <c r="B2211" s="9">
        <f t="shared" si="140"/>
        <v>0.9999656673967442</v>
      </c>
      <c r="C2211" s="3">
        <f t="shared" si="139"/>
        <v>4441447.5083093792</v>
      </c>
      <c r="D2211" s="3">
        <f t="shared" si="141"/>
        <v>0.25376049522310495</v>
      </c>
      <c r="E2211" s="8">
        <f t="shared" si="142"/>
        <v>315</v>
      </c>
    </row>
    <row r="2212" spans="1:5" ht="18.5" x14ac:dyDescent="0.45">
      <c r="A2212" s="3">
        <v>2206</v>
      </c>
      <c r="B2212" s="9">
        <f t="shared" si="140"/>
        <v>0.99996572441376241</v>
      </c>
      <c r="C2212" s="3">
        <f t="shared" si="139"/>
        <v>4441447.7615561672</v>
      </c>
      <c r="D2212" s="3">
        <f t="shared" si="141"/>
        <v>0.25324678793549538</v>
      </c>
      <c r="E2212" s="8">
        <f t="shared" si="142"/>
        <v>315.14285714285717</v>
      </c>
    </row>
    <row r="2213" spans="1:5" ht="18.5" x14ac:dyDescent="0.45">
      <c r="A2213" s="3">
        <v>2207</v>
      </c>
      <c r="B2213" s="9">
        <f t="shared" si="140"/>
        <v>0.99996578131540026</v>
      </c>
      <c r="C2213" s="3">
        <f t="shared" si="139"/>
        <v>4441448.0142904818</v>
      </c>
      <c r="D2213" s="3">
        <f t="shared" si="141"/>
        <v>0.25273431465029716</v>
      </c>
      <c r="E2213" s="8">
        <f t="shared" si="142"/>
        <v>315.28571428571428</v>
      </c>
    </row>
    <row r="2214" spans="1:5" ht="18.5" x14ac:dyDescent="0.45">
      <c r="A2214" s="3">
        <v>2208</v>
      </c>
      <c r="B2214" s="9">
        <f t="shared" si="140"/>
        <v>0.9999658381019344</v>
      </c>
      <c r="C2214" s="3">
        <f t="shared" si="139"/>
        <v>4441448.2665135516</v>
      </c>
      <c r="D2214" s="3">
        <f t="shared" si="141"/>
        <v>0.25222306977957487</v>
      </c>
      <c r="E2214" s="8">
        <f t="shared" si="142"/>
        <v>315.42857142857144</v>
      </c>
    </row>
    <row r="2215" spans="1:5" ht="18.5" x14ac:dyDescent="0.45">
      <c r="A2215" s="3">
        <v>2209</v>
      </c>
      <c r="B2215" s="9">
        <f t="shared" si="140"/>
        <v>0.99996589477364073</v>
      </c>
      <c r="C2215" s="3">
        <f t="shared" si="139"/>
        <v>4441448.518226603</v>
      </c>
      <c r="D2215" s="3">
        <f t="shared" si="141"/>
        <v>0.25171305146068335</v>
      </c>
      <c r="E2215" s="8">
        <f t="shared" si="142"/>
        <v>315.57142857142856</v>
      </c>
    </row>
    <row r="2216" spans="1:5" ht="18.5" x14ac:dyDescent="0.45">
      <c r="A2216" s="3">
        <v>2210</v>
      </c>
      <c r="B2216" s="9">
        <f t="shared" si="140"/>
        <v>0.99996595133079458</v>
      </c>
      <c r="C2216" s="3">
        <f t="shared" si="139"/>
        <v>4441448.7694308572</v>
      </c>
      <c r="D2216" s="3">
        <f t="shared" si="141"/>
        <v>0.25120425410568714</v>
      </c>
      <c r="E2216" s="8">
        <f t="shared" si="142"/>
        <v>315.71428571428572</v>
      </c>
    </row>
    <row r="2217" spans="1:5" ht="18.5" x14ac:dyDescent="0.45">
      <c r="A2217" s="3">
        <v>2211</v>
      </c>
      <c r="B2217" s="9">
        <f t="shared" si="140"/>
        <v>0.9999660077736704</v>
      </c>
      <c r="C2217" s="3">
        <f t="shared" si="139"/>
        <v>4441449.0201275349</v>
      </c>
      <c r="D2217" s="3">
        <f t="shared" si="141"/>
        <v>0.25069667771458626</v>
      </c>
      <c r="E2217" s="8">
        <f t="shared" si="142"/>
        <v>315.85714285714283</v>
      </c>
    </row>
    <row r="2218" spans="1:5" ht="18.5" x14ac:dyDescent="0.45">
      <c r="A2218" s="3">
        <v>2212</v>
      </c>
      <c r="B2218" s="9">
        <f t="shared" si="140"/>
        <v>0.99996606410254185</v>
      </c>
      <c r="C2218" s="3">
        <f t="shared" si="139"/>
        <v>4441449.2703178497</v>
      </c>
      <c r="D2218" s="3">
        <f t="shared" si="141"/>
        <v>0.2501903148368001</v>
      </c>
      <c r="E2218" s="8">
        <f t="shared" si="142"/>
        <v>316</v>
      </c>
    </row>
    <row r="2219" spans="1:5" ht="18.5" x14ac:dyDescent="0.45">
      <c r="A2219" s="3">
        <v>2213</v>
      </c>
      <c r="B2219" s="9">
        <f t="shared" si="140"/>
        <v>0.99996612031768184</v>
      </c>
      <c r="C2219" s="3">
        <f t="shared" si="139"/>
        <v>4441449.5200030161</v>
      </c>
      <c r="D2219" s="3">
        <f t="shared" si="141"/>
        <v>0.24968516640365124</v>
      </c>
      <c r="E2219" s="8">
        <f t="shared" si="142"/>
        <v>316.14285714285717</v>
      </c>
    </row>
    <row r="2220" spans="1:5" ht="18.5" x14ac:dyDescent="0.45">
      <c r="A2220" s="3">
        <v>2214</v>
      </c>
      <c r="B2220" s="9">
        <f t="shared" si="140"/>
        <v>0.99996617641936258</v>
      </c>
      <c r="C2220" s="3">
        <f t="shared" si="139"/>
        <v>4441449.7691842411</v>
      </c>
      <c r="D2220" s="3">
        <f t="shared" si="141"/>
        <v>0.24918122496455908</v>
      </c>
      <c r="E2220" s="8">
        <f t="shared" si="142"/>
        <v>316.28571428571428</v>
      </c>
    </row>
    <row r="2221" spans="1:5" ht="18.5" x14ac:dyDescent="0.45">
      <c r="A2221" s="3">
        <v>2215</v>
      </c>
      <c r="B2221" s="9">
        <f t="shared" si="140"/>
        <v>0.99996623240785543</v>
      </c>
      <c r="C2221" s="3">
        <f t="shared" si="139"/>
        <v>4441450.0178627307</v>
      </c>
      <c r="D2221" s="3">
        <f t="shared" si="141"/>
        <v>0.24867848958820105</v>
      </c>
      <c r="E2221" s="8">
        <f t="shared" si="142"/>
        <v>316.42857142857144</v>
      </c>
    </row>
    <row r="2222" spans="1:5" ht="18.5" x14ac:dyDescent="0.45">
      <c r="A2222" s="3">
        <v>2216</v>
      </c>
      <c r="B2222" s="9">
        <f t="shared" si="140"/>
        <v>0.99996628828343115</v>
      </c>
      <c r="C2222" s="3">
        <f t="shared" si="139"/>
        <v>4441450.2660396881</v>
      </c>
      <c r="D2222" s="3">
        <f t="shared" si="141"/>
        <v>0.24817695748060942</v>
      </c>
      <c r="E2222" s="8">
        <f t="shared" si="142"/>
        <v>316.57142857142856</v>
      </c>
    </row>
    <row r="2223" spans="1:5" ht="18.5" x14ac:dyDescent="0.45">
      <c r="A2223" s="3">
        <v>2217</v>
      </c>
      <c r="B2223" s="9">
        <f t="shared" si="140"/>
        <v>0.99996634404635953</v>
      </c>
      <c r="C2223" s="3">
        <f t="shared" si="139"/>
        <v>4441450.5137163103</v>
      </c>
      <c r="D2223" s="3">
        <f t="shared" si="141"/>
        <v>0.24767662212252617</v>
      </c>
      <c r="E2223" s="8">
        <f t="shared" si="142"/>
        <v>316.71428571428572</v>
      </c>
    </row>
    <row r="2224" spans="1:5" ht="18.5" x14ac:dyDescent="0.45">
      <c r="A2224" s="3">
        <v>2218</v>
      </c>
      <c r="B2224" s="9">
        <f t="shared" si="140"/>
        <v>0.99996639969690981</v>
      </c>
      <c r="C2224" s="3">
        <f t="shared" si="139"/>
        <v>4441450.7608937947</v>
      </c>
      <c r="D2224" s="3">
        <f t="shared" si="141"/>
        <v>0.24717748444527388</v>
      </c>
      <c r="E2224" s="8">
        <f t="shared" si="142"/>
        <v>316.85714285714283</v>
      </c>
    </row>
    <row r="2225" spans="1:5" ht="18.5" x14ac:dyDescent="0.45">
      <c r="A2225" s="3">
        <v>2219</v>
      </c>
      <c r="B2225" s="9">
        <f t="shared" si="140"/>
        <v>0.99996645523535033</v>
      </c>
      <c r="C2225" s="3">
        <f t="shared" si="139"/>
        <v>4441451.0075733317</v>
      </c>
      <c r="D2225" s="3">
        <f t="shared" si="141"/>
        <v>0.24667953699827194</v>
      </c>
      <c r="E2225" s="8">
        <f t="shared" si="142"/>
        <v>317</v>
      </c>
    </row>
    <row r="2226" spans="1:5" ht="18.5" x14ac:dyDescent="0.45">
      <c r="A2226" s="3">
        <v>2220</v>
      </c>
      <c r="B2226" s="9">
        <f t="shared" si="140"/>
        <v>0.99996651066194886</v>
      </c>
      <c r="C2226" s="3">
        <f t="shared" si="139"/>
        <v>4441451.2537561124</v>
      </c>
      <c r="D2226" s="3">
        <f t="shared" si="141"/>
        <v>0.24618278071284294</v>
      </c>
      <c r="E2226" s="8">
        <f t="shared" si="142"/>
        <v>317.14285714285717</v>
      </c>
    </row>
    <row r="2227" spans="1:5" ht="18.5" x14ac:dyDescent="0.45">
      <c r="A2227" s="3">
        <v>2221</v>
      </c>
      <c r="B2227" s="9">
        <f t="shared" si="140"/>
        <v>0.99996656597697231</v>
      </c>
      <c r="C2227" s="3">
        <f t="shared" si="139"/>
        <v>4441451.4994433206</v>
      </c>
      <c r="D2227" s="3">
        <f t="shared" si="141"/>
        <v>0.24568720813840628</v>
      </c>
      <c r="E2227" s="8">
        <f t="shared" si="142"/>
        <v>317.28571428571428</v>
      </c>
    </row>
    <row r="2228" spans="1:5" ht="18.5" x14ac:dyDescent="0.45">
      <c r="A2228" s="3">
        <v>2222</v>
      </c>
      <c r="B2228" s="9">
        <f t="shared" si="140"/>
        <v>0.9999666211806868</v>
      </c>
      <c r="C2228" s="3">
        <f t="shared" si="139"/>
        <v>4441451.7446361389</v>
      </c>
      <c r="D2228" s="3">
        <f t="shared" si="141"/>
        <v>0.24519281834363937</v>
      </c>
      <c r="E2228" s="8">
        <f t="shared" si="142"/>
        <v>317.42857142857144</v>
      </c>
    </row>
    <row r="2229" spans="1:5" ht="18.5" x14ac:dyDescent="0.45">
      <c r="A2229" s="3">
        <v>2223</v>
      </c>
      <c r="B2229" s="9">
        <f t="shared" si="140"/>
        <v>0.99996667627335789</v>
      </c>
      <c r="C2229" s="3">
        <f t="shared" si="139"/>
        <v>4441451.9893357465</v>
      </c>
      <c r="D2229" s="3">
        <f t="shared" si="141"/>
        <v>0.24469960760325193</v>
      </c>
      <c r="E2229" s="8">
        <f t="shared" si="142"/>
        <v>317.57142857142856</v>
      </c>
    </row>
    <row r="2230" spans="1:5" ht="18.5" x14ac:dyDescent="0.45">
      <c r="A2230" s="3">
        <v>2224</v>
      </c>
      <c r="B2230" s="9">
        <f t="shared" si="140"/>
        <v>0.99996673125525015</v>
      </c>
      <c r="C2230" s="3">
        <f t="shared" si="139"/>
        <v>4441452.2335433187</v>
      </c>
      <c r="D2230" s="3">
        <f t="shared" si="141"/>
        <v>0.24420757219195366</v>
      </c>
      <c r="E2230" s="8">
        <f t="shared" si="142"/>
        <v>317.71428571428572</v>
      </c>
    </row>
    <row r="2231" spans="1:5" ht="18.5" x14ac:dyDescent="0.45">
      <c r="A2231" s="3">
        <v>2225</v>
      </c>
      <c r="B2231" s="9">
        <f t="shared" si="140"/>
        <v>0.9999667861266277</v>
      </c>
      <c r="C2231" s="3">
        <f t="shared" si="139"/>
        <v>4441452.4772600299</v>
      </c>
      <c r="D2231" s="3">
        <f t="shared" si="141"/>
        <v>0.24371671117842197</v>
      </c>
      <c r="E2231" s="8">
        <f t="shared" si="142"/>
        <v>317.85714285714283</v>
      </c>
    </row>
    <row r="2232" spans="1:5" ht="18.5" x14ac:dyDescent="0.45">
      <c r="A2232" s="3">
        <v>2226</v>
      </c>
      <c r="B2232" s="9">
        <f t="shared" si="140"/>
        <v>0.99996684088775378</v>
      </c>
      <c r="C2232" s="3">
        <f t="shared" si="139"/>
        <v>4441452.720487047</v>
      </c>
      <c r="D2232" s="3">
        <f t="shared" si="141"/>
        <v>0.24322701711207628</v>
      </c>
      <c r="E2232" s="8">
        <f t="shared" si="142"/>
        <v>318</v>
      </c>
    </row>
    <row r="2233" spans="1:5" ht="18.5" x14ac:dyDescent="0.45">
      <c r="A2233" s="3">
        <v>2227</v>
      </c>
      <c r="B2233" s="9">
        <f t="shared" si="140"/>
        <v>0.99996689553889095</v>
      </c>
      <c r="C2233" s="3">
        <f t="shared" si="139"/>
        <v>4441452.9632255379</v>
      </c>
      <c r="D2233" s="3">
        <f t="shared" si="141"/>
        <v>0.24273849092423916</v>
      </c>
      <c r="E2233" s="8">
        <f t="shared" si="142"/>
        <v>318.14285714285717</v>
      </c>
    </row>
    <row r="2234" spans="1:5" ht="18.5" x14ac:dyDescent="0.45">
      <c r="A2234" s="3">
        <v>2228</v>
      </c>
      <c r="B2234" s="9">
        <f t="shared" si="140"/>
        <v>0.9999669500803009</v>
      </c>
      <c r="C2234" s="3">
        <f t="shared" si="139"/>
        <v>4441453.205476664</v>
      </c>
      <c r="D2234" s="3">
        <f t="shared" si="141"/>
        <v>0.24225112609565258</v>
      </c>
      <c r="E2234" s="8">
        <f t="shared" si="142"/>
        <v>318.28571428571428</v>
      </c>
    </row>
    <row r="2235" spans="1:5" ht="18.5" x14ac:dyDescent="0.45">
      <c r="A2235" s="3">
        <v>2229</v>
      </c>
      <c r="B2235" s="9">
        <f t="shared" si="140"/>
        <v>0.99996700451224485</v>
      </c>
      <c r="C2235" s="3">
        <f t="shared" si="139"/>
        <v>4441453.4472415866</v>
      </c>
      <c r="D2235" s="3">
        <f t="shared" si="141"/>
        <v>0.24176492262631655</v>
      </c>
      <c r="E2235" s="8">
        <f t="shared" si="142"/>
        <v>318.42857142857144</v>
      </c>
    </row>
    <row r="2236" spans="1:5" ht="18.5" x14ac:dyDescent="0.45">
      <c r="A2236" s="3">
        <v>2230</v>
      </c>
      <c r="B2236" s="9">
        <f t="shared" si="140"/>
        <v>0.99996705883498305</v>
      </c>
      <c r="C2236" s="3">
        <f t="shared" si="139"/>
        <v>4441453.6885214606</v>
      </c>
      <c r="D2236" s="3">
        <f t="shared" si="141"/>
        <v>0.24127987399697304</v>
      </c>
      <c r="E2236" s="8">
        <f t="shared" si="142"/>
        <v>318.57142857142856</v>
      </c>
    </row>
    <row r="2237" spans="1:5" ht="18.5" x14ac:dyDescent="0.45">
      <c r="A2237" s="3">
        <v>2231</v>
      </c>
      <c r="B2237" s="9">
        <f t="shared" si="140"/>
        <v>0.99996711304877517</v>
      </c>
      <c r="C2237" s="3">
        <f t="shared" si="139"/>
        <v>4441453.9293174399</v>
      </c>
      <c r="D2237" s="3">
        <f t="shared" si="141"/>
        <v>0.24079597927629948</v>
      </c>
      <c r="E2237" s="8">
        <f t="shared" si="142"/>
        <v>318.71428571428572</v>
      </c>
    </row>
    <row r="2238" spans="1:5" ht="18.5" x14ac:dyDescent="0.45">
      <c r="A2238" s="3">
        <v>2232</v>
      </c>
      <c r="B2238" s="9">
        <f t="shared" si="140"/>
        <v>0.99996716715388012</v>
      </c>
      <c r="C2238" s="3">
        <f t="shared" si="139"/>
        <v>4441454.1696306737</v>
      </c>
      <c r="D2238" s="3">
        <f t="shared" si="141"/>
        <v>0.24031323380768299</v>
      </c>
      <c r="E2238" s="8">
        <f t="shared" si="142"/>
        <v>318.85714285714283</v>
      </c>
    </row>
    <row r="2239" spans="1:5" ht="18.5" x14ac:dyDescent="0.45">
      <c r="A2239" s="3">
        <v>2233</v>
      </c>
      <c r="B2239" s="9">
        <f t="shared" si="140"/>
        <v>0.99996722115055625</v>
      </c>
      <c r="C2239" s="3">
        <f t="shared" si="139"/>
        <v>4441454.4094623104</v>
      </c>
      <c r="D2239" s="3">
        <f t="shared" si="141"/>
        <v>0.23983163665980101</v>
      </c>
      <c r="E2239" s="8">
        <f t="shared" si="142"/>
        <v>319</v>
      </c>
    </row>
    <row r="2240" spans="1:5" ht="18.5" x14ac:dyDescent="0.45">
      <c r="A2240" s="3">
        <v>2234</v>
      </c>
      <c r="B2240" s="9">
        <f t="shared" si="140"/>
        <v>0.99996727503906091</v>
      </c>
      <c r="C2240" s="3">
        <f t="shared" si="139"/>
        <v>4441454.6488134926</v>
      </c>
      <c r="D2240" s="3">
        <f t="shared" si="141"/>
        <v>0.23935118224471807</v>
      </c>
      <c r="E2240" s="8">
        <f t="shared" si="142"/>
        <v>319.14285714285717</v>
      </c>
    </row>
    <row r="2241" spans="1:5" ht="18.5" x14ac:dyDescent="0.45">
      <c r="A2241" s="3">
        <v>2235</v>
      </c>
      <c r="B2241" s="9">
        <f t="shared" si="140"/>
        <v>0.999967328819651</v>
      </c>
      <c r="C2241" s="3">
        <f t="shared" si="139"/>
        <v>4441454.8876853622</v>
      </c>
      <c r="D2241" s="3">
        <f t="shared" si="141"/>
        <v>0.23887186963111162</v>
      </c>
      <c r="E2241" s="8">
        <f t="shared" si="142"/>
        <v>319.28571428571428</v>
      </c>
    </row>
    <row r="2242" spans="1:5" ht="18.5" x14ac:dyDescent="0.45">
      <c r="A2242" s="3">
        <v>2236</v>
      </c>
      <c r="B2242" s="9">
        <f t="shared" si="140"/>
        <v>0.99996738249258244</v>
      </c>
      <c r="C2242" s="3">
        <f t="shared" si="139"/>
        <v>4441455.1260790545</v>
      </c>
      <c r="D2242" s="3">
        <f t="shared" si="141"/>
        <v>0.23839369229972363</v>
      </c>
      <c r="E2242" s="8">
        <f t="shared" si="142"/>
        <v>319.42857142857144</v>
      </c>
    </row>
    <row r="2243" spans="1:5" ht="18.5" x14ac:dyDescent="0.45">
      <c r="A2243" s="3">
        <v>2237</v>
      </c>
      <c r="B2243" s="9">
        <f t="shared" si="140"/>
        <v>0.99996743605811078</v>
      </c>
      <c r="C2243" s="3">
        <f t="shared" si="139"/>
        <v>4441455.3639957048</v>
      </c>
      <c r="D2243" s="3">
        <f t="shared" si="141"/>
        <v>0.23791665025055408</v>
      </c>
      <c r="E2243" s="8">
        <f t="shared" si="142"/>
        <v>319.57142857142856</v>
      </c>
    </row>
    <row r="2244" spans="1:5" ht="18.5" x14ac:dyDescent="0.45">
      <c r="A2244" s="3">
        <v>2238</v>
      </c>
      <c r="B2244" s="9">
        <f t="shared" si="140"/>
        <v>0.99996748951649073</v>
      </c>
      <c r="C2244" s="3">
        <f t="shared" si="139"/>
        <v>4441455.6014364455</v>
      </c>
      <c r="D2244" s="3">
        <f t="shared" si="141"/>
        <v>0.23744074068963528</v>
      </c>
      <c r="E2244" s="8">
        <f t="shared" si="142"/>
        <v>319.71428571428572</v>
      </c>
    </row>
    <row r="2245" spans="1:5" ht="18.5" x14ac:dyDescent="0.45">
      <c r="A2245" s="3">
        <v>2239</v>
      </c>
      <c r="B2245" s="9">
        <f t="shared" si="140"/>
        <v>0.99996754286797607</v>
      </c>
      <c r="C2245" s="3">
        <f t="shared" si="139"/>
        <v>4441455.8384024026</v>
      </c>
      <c r="D2245" s="3">
        <f t="shared" si="141"/>
        <v>0.23696595709770918</v>
      </c>
      <c r="E2245" s="8">
        <f t="shared" si="142"/>
        <v>319.85714285714283</v>
      </c>
    </row>
    <row r="2246" spans="1:5" ht="18.5" x14ac:dyDescent="0.45">
      <c r="A2246" s="3">
        <v>2240</v>
      </c>
      <c r="B2246" s="9">
        <f t="shared" si="140"/>
        <v>0.99996759611282027</v>
      </c>
      <c r="C2246" s="3">
        <f t="shared" si="139"/>
        <v>4441456.0748947021</v>
      </c>
      <c r="D2246" s="3">
        <f t="shared" si="141"/>
        <v>0.23649229947477579</v>
      </c>
      <c r="E2246" s="8">
        <f t="shared" si="142"/>
        <v>320</v>
      </c>
    </row>
    <row r="2247" spans="1:5" ht="18.5" x14ac:dyDescent="0.45">
      <c r="A2247" s="3">
        <v>2241</v>
      </c>
      <c r="B2247" s="9">
        <f t="shared" si="140"/>
        <v>0.99996764925127579</v>
      </c>
      <c r="C2247" s="3">
        <f t="shared" si="139"/>
        <v>4441456.3109144662</v>
      </c>
      <c r="D2247" s="3">
        <f t="shared" si="141"/>
        <v>0.23601976409554482</v>
      </c>
      <c r="E2247" s="8">
        <f t="shared" si="142"/>
        <v>320.14285714285717</v>
      </c>
    </row>
    <row r="2248" spans="1:5" ht="18.5" x14ac:dyDescent="0.45">
      <c r="A2248" s="3">
        <v>2242</v>
      </c>
      <c r="B2248" s="9">
        <f t="shared" si="140"/>
        <v>0.99996770228359455</v>
      </c>
      <c r="C2248" s="3">
        <f t="shared" ref="C2248:C2311" si="143">$E$3*B2248</f>
        <v>4441456.5464628134</v>
      </c>
      <c r="D2248" s="3">
        <f t="shared" si="141"/>
        <v>0.23554834723472595</v>
      </c>
      <c r="E2248" s="8">
        <f t="shared" si="142"/>
        <v>320.28571428571428</v>
      </c>
    </row>
    <row r="2249" spans="1:5" ht="18.5" x14ac:dyDescent="0.45">
      <c r="A2249" s="3">
        <v>2243</v>
      </c>
      <c r="B2249" s="9">
        <f t="shared" si="140"/>
        <v>0.99996775521002779</v>
      </c>
      <c r="C2249" s="3">
        <f t="shared" si="143"/>
        <v>4441456.7815408595</v>
      </c>
      <c r="D2249" s="3">
        <f t="shared" si="141"/>
        <v>0.23507804609835148</v>
      </c>
      <c r="E2249" s="8">
        <f t="shared" si="142"/>
        <v>320.42857142857144</v>
      </c>
    </row>
    <row r="2250" spans="1:5" ht="18.5" x14ac:dyDescent="0.45">
      <c r="A2250" s="3">
        <v>2244</v>
      </c>
      <c r="B2250" s="9">
        <f t="shared" si="140"/>
        <v>0.99996780803082597</v>
      </c>
      <c r="C2250" s="3">
        <f t="shared" si="143"/>
        <v>4441457.0161497165</v>
      </c>
      <c r="D2250" s="3">
        <f t="shared" si="141"/>
        <v>0.2346088569611311</v>
      </c>
      <c r="E2250" s="8">
        <f t="shared" si="142"/>
        <v>320.57142857142856</v>
      </c>
    </row>
    <row r="2251" spans="1:5" ht="18.5" x14ac:dyDescent="0.45">
      <c r="A2251" s="3">
        <v>2245</v>
      </c>
      <c r="B2251" s="9">
        <f t="shared" si="140"/>
        <v>0.99996786074623889</v>
      </c>
      <c r="C2251" s="3">
        <f t="shared" si="143"/>
        <v>4441457.2502904944</v>
      </c>
      <c r="D2251" s="3">
        <f t="shared" si="141"/>
        <v>0.23414077796041965</v>
      </c>
      <c r="E2251" s="8">
        <f t="shared" si="142"/>
        <v>320.71428571428572</v>
      </c>
    </row>
    <row r="2252" spans="1:5" ht="18.5" x14ac:dyDescent="0.45">
      <c r="A2252" s="3">
        <v>2246</v>
      </c>
      <c r="B2252" s="9">
        <f t="shared" si="140"/>
        <v>0.9999679133565158</v>
      </c>
      <c r="C2252" s="3">
        <f t="shared" si="143"/>
        <v>4441457.4839643007</v>
      </c>
      <c r="D2252" s="3">
        <f t="shared" si="141"/>
        <v>0.23367380630224943</v>
      </c>
      <c r="E2252" s="8">
        <f t="shared" si="142"/>
        <v>320.85714285714283</v>
      </c>
    </row>
    <row r="2253" spans="1:5" ht="18.5" x14ac:dyDescent="0.45">
      <c r="A2253" s="3">
        <v>2247</v>
      </c>
      <c r="B2253" s="9">
        <f t="shared" si="140"/>
        <v>0.99996796586190506</v>
      </c>
      <c r="C2253" s="3">
        <f t="shared" si="143"/>
        <v>4441457.7171722371</v>
      </c>
      <c r="D2253" s="3">
        <f t="shared" si="141"/>
        <v>0.23320793639868498</v>
      </c>
      <c r="E2253" s="8">
        <f t="shared" si="142"/>
        <v>321</v>
      </c>
    </row>
    <row r="2254" spans="1:5" ht="18.5" x14ac:dyDescent="0.45">
      <c r="A2254" s="3">
        <v>2248</v>
      </c>
      <c r="B2254" s="9">
        <f t="shared" si="140"/>
        <v>0.99996801826265436</v>
      </c>
      <c r="C2254" s="3">
        <f t="shared" si="143"/>
        <v>4441457.9499154054</v>
      </c>
      <c r="D2254" s="3">
        <f t="shared" si="141"/>
        <v>0.2327431682497263</v>
      </c>
      <c r="E2254" s="8">
        <f t="shared" si="142"/>
        <v>321.14285714285717</v>
      </c>
    </row>
    <row r="2255" spans="1:5" ht="18.5" x14ac:dyDescent="0.45">
      <c r="A2255" s="3">
        <v>2249</v>
      </c>
      <c r="B2255" s="9">
        <f t="shared" si="140"/>
        <v>0.99996807055901105</v>
      </c>
      <c r="C2255" s="3">
        <f t="shared" si="143"/>
        <v>4441458.1821949035</v>
      </c>
      <c r="D2255" s="3">
        <f t="shared" si="141"/>
        <v>0.23227949813008308</v>
      </c>
      <c r="E2255" s="8">
        <f t="shared" si="142"/>
        <v>321.28571428571428</v>
      </c>
    </row>
    <row r="2256" spans="1:5" ht="18.5" x14ac:dyDescent="0.45">
      <c r="A2256" s="3">
        <v>2250</v>
      </c>
      <c r="B2256" s="9">
        <f t="shared" si="140"/>
        <v>0.99996812275122127</v>
      </c>
      <c r="C2256" s="3">
        <f t="shared" si="143"/>
        <v>4441458.4140118239</v>
      </c>
      <c r="D2256" s="3">
        <f t="shared" si="141"/>
        <v>0.2318169204518199</v>
      </c>
      <c r="E2256" s="8">
        <f t="shared" si="142"/>
        <v>321.42857142857144</v>
      </c>
    </row>
    <row r="2257" spans="1:5" ht="18.5" x14ac:dyDescent="0.45">
      <c r="A2257" s="3">
        <v>2251</v>
      </c>
      <c r="B2257" s="9">
        <f t="shared" si="140"/>
        <v>0.99996817483953093</v>
      </c>
      <c r="C2257" s="3">
        <f t="shared" si="143"/>
        <v>4441458.645367261</v>
      </c>
      <c r="D2257" s="3">
        <f t="shared" si="141"/>
        <v>0.23135543707758188</v>
      </c>
      <c r="E2257" s="8">
        <f t="shared" si="142"/>
        <v>321.57142857142856</v>
      </c>
    </row>
    <row r="2258" spans="1:5" ht="18.5" x14ac:dyDescent="0.45">
      <c r="A2258" s="3">
        <v>2252</v>
      </c>
      <c r="B2258" s="9">
        <f t="shared" si="140"/>
        <v>0.99996822682418507</v>
      </c>
      <c r="C2258" s="3">
        <f t="shared" si="143"/>
        <v>4441458.8762623006</v>
      </c>
      <c r="D2258" s="3">
        <f t="shared" si="141"/>
        <v>0.23089503962546587</v>
      </c>
      <c r="E2258" s="8">
        <f t="shared" si="142"/>
        <v>321.71428571428572</v>
      </c>
    </row>
    <row r="2259" spans="1:5" ht="18.5" x14ac:dyDescent="0.45">
      <c r="A2259" s="3">
        <v>2253</v>
      </c>
      <c r="B2259" s="9">
        <f t="shared" si="140"/>
        <v>0.99996827870542804</v>
      </c>
      <c r="C2259" s="3">
        <f t="shared" si="143"/>
        <v>4441459.1066980287</v>
      </c>
      <c r="D2259" s="3">
        <f t="shared" si="141"/>
        <v>0.23043572809547186</v>
      </c>
      <c r="E2259" s="8">
        <f t="shared" si="142"/>
        <v>321.85714285714283</v>
      </c>
    </row>
    <row r="2260" spans="1:5" ht="18.5" x14ac:dyDescent="0.45">
      <c r="A2260" s="3">
        <v>2254</v>
      </c>
      <c r="B2260" s="9">
        <f t="shared" si="140"/>
        <v>0.99996833048350353</v>
      </c>
      <c r="C2260" s="3">
        <f t="shared" si="143"/>
        <v>4441459.3366755294</v>
      </c>
      <c r="D2260" s="3">
        <f t="shared" si="141"/>
        <v>0.2299775006249547</v>
      </c>
      <c r="E2260" s="8">
        <f t="shared" si="142"/>
        <v>322</v>
      </c>
    </row>
    <row r="2261" spans="1:5" ht="18.5" x14ac:dyDescent="0.45">
      <c r="A2261" s="3">
        <v>2255</v>
      </c>
      <c r="B2261" s="9">
        <f t="shared" si="140"/>
        <v>0.9999683821586548</v>
      </c>
      <c r="C2261" s="3">
        <f t="shared" si="143"/>
        <v>4441459.566195881</v>
      </c>
      <c r="D2261" s="3">
        <f t="shared" si="141"/>
        <v>0.22952035162597895</v>
      </c>
      <c r="E2261" s="8">
        <f t="shared" si="142"/>
        <v>322.14285714285717</v>
      </c>
    </row>
    <row r="2262" spans="1:5" ht="18.5" x14ac:dyDescent="0.45">
      <c r="A2262" s="3">
        <v>2256</v>
      </c>
      <c r="B2262" s="9">
        <f t="shared" si="140"/>
        <v>0.9999684337311241</v>
      </c>
      <c r="C2262" s="3">
        <f t="shared" si="143"/>
        <v>4441459.7952601612</v>
      </c>
      <c r="D2262" s="3">
        <f t="shared" si="141"/>
        <v>0.22906428016722202</v>
      </c>
      <c r="E2262" s="8">
        <f t="shared" si="142"/>
        <v>322.28571428571428</v>
      </c>
    </row>
    <row r="2263" spans="1:5" ht="18.5" x14ac:dyDescent="0.45">
      <c r="A2263" s="3">
        <v>2257</v>
      </c>
      <c r="B2263" s="9">
        <f t="shared" ref="B2263:B2326" si="144">LOGNORMDIST(A2263,$A$3,$B$3)</f>
        <v>0.99996848520115311</v>
      </c>
      <c r="C2263" s="3">
        <f t="shared" si="143"/>
        <v>4441460.0238694418</v>
      </c>
      <c r="D2263" s="3">
        <f t="shared" ref="D2263:D2326" si="145">C2263-C2262</f>
        <v>0.22860928066074848</v>
      </c>
      <c r="E2263" s="8">
        <f t="shared" ref="E2263:E2326" si="146">A2263/7</f>
        <v>322.42857142857144</v>
      </c>
    </row>
    <row r="2264" spans="1:5" ht="18.5" x14ac:dyDescent="0.45">
      <c r="A2264" s="3">
        <v>2258</v>
      </c>
      <c r="B2264" s="9">
        <f t="shared" si="144"/>
        <v>0.99996853656898299</v>
      </c>
      <c r="C2264" s="3">
        <f t="shared" si="143"/>
        <v>4441460.2520247949</v>
      </c>
      <c r="D2264" s="3">
        <f t="shared" si="145"/>
        <v>0.22815535310655832</v>
      </c>
      <c r="E2264" s="8">
        <f t="shared" si="146"/>
        <v>322.57142857142856</v>
      </c>
    </row>
    <row r="2265" spans="1:5" ht="18.5" x14ac:dyDescent="0.45">
      <c r="A2265" s="3">
        <v>2259</v>
      </c>
      <c r="B2265" s="9">
        <f t="shared" si="144"/>
        <v>0.99996858783485421</v>
      </c>
      <c r="C2265" s="3">
        <f t="shared" si="143"/>
        <v>4441460.4797272887</v>
      </c>
      <c r="D2265" s="3">
        <f t="shared" si="145"/>
        <v>0.22770249377936125</v>
      </c>
      <c r="E2265" s="8">
        <f t="shared" si="146"/>
        <v>322.71428571428572</v>
      </c>
    </row>
    <row r="2266" spans="1:5" ht="18.5" x14ac:dyDescent="0.45">
      <c r="A2266" s="3">
        <v>2260</v>
      </c>
      <c r="B2266" s="9">
        <f t="shared" si="144"/>
        <v>0.99996863899900645</v>
      </c>
      <c r="C2266" s="3">
        <f t="shared" si="143"/>
        <v>4441460.7069779867</v>
      </c>
      <c r="D2266" s="3">
        <f t="shared" si="145"/>
        <v>0.22725069802254438</v>
      </c>
      <c r="E2266" s="8">
        <f t="shared" si="146"/>
        <v>322.85714285714283</v>
      </c>
    </row>
    <row r="2267" spans="1:5" ht="18.5" x14ac:dyDescent="0.45">
      <c r="A2267" s="3">
        <v>2261</v>
      </c>
      <c r="B2267" s="9">
        <f t="shared" si="144"/>
        <v>0.99996869006167888</v>
      </c>
      <c r="C2267" s="3">
        <f t="shared" si="143"/>
        <v>4441460.9337779526</v>
      </c>
      <c r="D2267" s="3">
        <f t="shared" si="145"/>
        <v>0.22679996583610773</v>
      </c>
      <c r="E2267" s="8">
        <f t="shared" si="146"/>
        <v>323</v>
      </c>
    </row>
    <row r="2268" spans="1:5" ht="18.5" x14ac:dyDescent="0.45">
      <c r="A2268" s="3">
        <v>2262</v>
      </c>
      <c r="B2268" s="9">
        <f t="shared" si="144"/>
        <v>0.99996874102310984</v>
      </c>
      <c r="C2268" s="3">
        <f t="shared" si="143"/>
        <v>4441461.1601282451</v>
      </c>
      <c r="D2268" s="3">
        <f t="shared" si="145"/>
        <v>0.22635029256343842</v>
      </c>
      <c r="E2268" s="8">
        <f t="shared" si="146"/>
        <v>323.14285714285717</v>
      </c>
    </row>
    <row r="2269" spans="1:5" ht="18.5" x14ac:dyDescent="0.45">
      <c r="A2269" s="3">
        <v>2263</v>
      </c>
      <c r="B2269" s="9">
        <f t="shared" si="144"/>
        <v>0.99996879188353727</v>
      </c>
      <c r="C2269" s="3">
        <f t="shared" si="143"/>
        <v>4441461.3860299187</v>
      </c>
      <c r="D2269" s="3">
        <f t="shared" si="145"/>
        <v>0.22590167354792356</v>
      </c>
      <c r="E2269" s="8">
        <f t="shared" si="146"/>
        <v>323.28571428571428</v>
      </c>
    </row>
    <row r="2270" spans="1:5" ht="18.5" x14ac:dyDescent="0.45">
      <c r="A2270" s="3">
        <v>2264</v>
      </c>
      <c r="B2270" s="9">
        <f t="shared" si="144"/>
        <v>0.9999688426431983</v>
      </c>
      <c r="C2270" s="3">
        <f t="shared" si="143"/>
        <v>4441461.6114840293</v>
      </c>
      <c r="D2270" s="3">
        <f t="shared" si="145"/>
        <v>0.22545411065220833</v>
      </c>
      <c r="E2270" s="8">
        <f t="shared" si="146"/>
        <v>323.42857142857144</v>
      </c>
    </row>
    <row r="2271" spans="1:5" ht="18.5" x14ac:dyDescent="0.45">
      <c r="A2271" s="3">
        <v>2265</v>
      </c>
      <c r="B2271" s="9">
        <f t="shared" si="144"/>
        <v>0.99996889330232941</v>
      </c>
      <c r="C2271" s="3">
        <f t="shared" si="143"/>
        <v>4441461.8364916267</v>
      </c>
      <c r="D2271" s="3">
        <f t="shared" si="145"/>
        <v>0.22500759735703468</v>
      </c>
      <c r="E2271" s="8">
        <f t="shared" si="146"/>
        <v>323.57142857142856</v>
      </c>
    </row>
    <row r="2272" spans="1:5" ht="18.5" x14ac:dyDescent="0.45">
      <c r="A2272" s="3">
        <v>2266</v>
      </c>
      <c r="B2272" s="9">
        <f t="shared" si="144"/>
        <v>0.99996894386116641</v>
      </c>
      <c r="C2272" s="3">
        <f t="shared" si="143"/>
        <v>4441462.0610537566</v>
      </c>
      <c r="D2272" s="3">
        <f t="shared" si="145"/>
        <v>0.22456212993711233</v>
      </c>
      <c r="E2272" s="8">
        <f t="shared" si="146"/>
        <v>323.71428571428572</v>
      </c>
    </row>
    <row r="2273" spans="1:5" ht="18.5" x14ac:dyDescent="0.45">
      <c r="A2273" s="3">
        <v>2267</v>
      </c>
      <c r="B2273" s="9">
        <f t="shared" si="144"/>
        <v>0.99996899431994479</v>
      </c>
      <c r="C2273" s="3">
        <f t="shared" si="143"/>
        <v>4441462.2851714669</v>
      </c>
      <c r="D2273" s="3">
        <f t="shared" si="145"/>
        <v>0.22411771025508642</v>
      </c>
      <c r="E2273" s="8">
        <f t="shared" si="146"/>
        <v>323.85714285714283</v>
      </c>
    </row>
    <row r="2274" spans="1:5" ht="18.5" x14ac:dyDescent="0.45">
      <c r="A2274" s="3">
        <v>2268</v>
      </c>
      <c r="B2274" s="9">
        <f t="shared" si="144"/>
        <v>0.9999690446788988</v>
      </c>
      <c r="C2274" s="3">
        <f t="shared" si="143"/>
        <v>4441462.5088457968</v>
      </c>
      <c r="D2274" s="3">
        <f t="shared" si="145"/>
        <v>0.22367432992905378</v>
      </c>
      <c r="E2274" s="8">
        <f t="shared" si="146"/>
        <v>324</v>
      </c>
    </row>
    <row r="2275" spans="1:5" ht="18.5" x14ac:dyDescent="0.45">
      <c r="A2275" s="3">
        <v>2269</v>
      </c>
      <c r="B2275" s="9">
        <f t="shared" si="144"/>
        <v>0.99996909493826258</v>
      </c>
      <c r="C2275" s="3">
        <f t="shared" si="143"/>
        <v>4441462.7320777867</v>
      </c>
      <c r="D2275" s="3">
        <f t="shared" si="145"/>
        <v>0.22323198989033699</v>
      </c>
      <c r="E2275" s="8">
        <f t="shared" si="146"/>
        <v>324.14285714285717</v>
      </c>
    </row>
    <row r="2276" spans="1:5" ht="18.5" x14ac:dyDescent="0.45">
      <c r="A2276" s="3">
        <v>2270</v>
      </c>
      <c r="B2276" s="9">
        <f t="shared" si="144"/>
        <v>0.9999691450982694</v>
      </c>
      <c r="C2276" s="3">
        <f t="shared" si="143"/>
        <v>4441462.9548684731</v>
      </c>
      <c r="D2276" s="3">
        <f t="shared" si="145"/>
        <v>0.22279068641364574</v>
      </c>
      <c r="E2276" s="8">
        <f t="shared" si="146"/>
        <v>324.28571428571428</v>
      </c>
    </row>
    <row r="2277" spans="1:5" ht="18.5" x14ac:dyDescent="0.45">
      <c r="A2277" s="3">
        <v>2271</v>
      </c>
      <c r="B2277" s="9">
        <f t="shared" si="144"/>
        <v>0.99996919515915195</v>
      </c>
      <c r="C2277" s="3">
        <f t="shared" si="143"/>
        <v>4441463.1772188889</v>
      </c>
      <c r="D2277" s="3">
        <f t="shared" si="145"/>
        <v>0.22235041577368975</v>
      </c>
      <c r="E2277" s="8">
        <f t="shared" si="146"/>
        <v>324.42857142857144</v>
      </c>
    </row>
    <row r="2278" spans="1:5" ht="18.5" x14ac:dyDescent="0.45">
      <c r="A2278" s="3">
        <v>2272</v>
      </c>
      <c r="B2278" s="9">
        <f t="shared" si="144"/>
        <v>0.99996924512114238</v>
      </c>
      <c r="C2278" s="3">
        <f t="shared" si="143"/>
        <v>4441463.3991300659</v>
      </c>
      <c r="D2278" s="3">
        <f t="shared" si="145"/>
        <v>0.22191117703914642</v>
      </c>
      <c r="E2278" s="8">
        <f t="shared" si="146"/>
        <v>324.57142857142856</v>
      </c>
    </row>
    <row r="2279" spans="1:5" ht="18.5" x14ac:dyDescent="0.45">
      <c r="A2279" s="3">
        <v>2273</v>
      </c>
      <c r="B2279" s="9">
        <f t="shared" si="144"/>
        <v>0.99996929498447185</v>
      </c>
      <c r="C2279" s="3">
        <f t="shared" si="143"/>
        <v>4441463.6206030305</v>
      </c>
      <c r="D2279" s="3">
        <f t="shared" si="145"/>
        <v>0.22147296462208033</v>
      </c>
      <c r="E2279" s="8">
        <f t="shared" si="146"/>
        <v>324.71428571428572</v>
      </c>
    </row>
    <row r="2280" spans="1:5" ht="18.5" x14ac:dyDescent="0.45">
      <c r="A2280" s="3">
        <v>2274</v>
      </c>
      <c r="B2280" s="9">
        <f t="shared" si="144"/>
        <v>0.99996934474937138</v>
      </c>
      <c r="C2280" s="3">
        <f t="shared" si="143"/>
        <v>4441463.8416388081</v>
      </c>
      <c r="D2280" s="3">
        <f t="shared" si="145"/>
        <v>0.22103577759116888</v>
      </c>
      <c r="E2280" s="8">
        <f t="shared" si="146"/>
        <v>324.85714285714283</v>
      </c>
    </row>
    <row r="2281" spans="1:5" ht="18.5" x14ac:dyDescent="0.45">
      <c r="A2281" s="3">
        <v>2275</v>
      </c>
      <c r="B2281" s="9">
        <f t="shared" si="144"/>
        <v>0.99996939441607113</v>
      </c>
      <c r="C2281" s="3">
        <f t="shared" si="143"/>
        <v>4441464.0622384213</v>
      </c>
      <c r="D2281" s="3">
        <f t="shared" si="145"/>
        <v>0.22059961315244436</v>
      </c>
      <c r="E2281" s="8">
        <f t="shared" si="146"/>
        <v>325</v>
      </c>
    </row>
    <row r="2282" spans="1:5" ht="18.5" x14ac:dyDescent="0.45">
      <c r="A2282" s="3">
        <v>2276</v>
      </c>
      <c r="B2282" s="9">
        <f t="shared" si="144"/>
        <v>0.99996944398480048</v>
      </c>
      <c r="C2282" s="3">
        <f t="shared" si="143"/>
        <v>4441464.2824028898</v>
      </c>
      <c r="D2282" s="3">
        <f t="shared" si="145"/>
        <v>0.22016446851193905</v>
      </c>
      <c r="E2282" s="8">
        <f t="shared" si="146"/>
        <v>325.14285714285717</v>
      </c>
    </row>
    <row r="2283" spans="1:5" ht="18.5" x14ac:dyDescent="0.45">
      <c r="A2283" s="3">
        <v>2277</v>
      </c>
      <c r="B2283" s="9">
        <f t="shared" si="144"/>
        <v>0.99996949345578856</v>
      </c>
      <c r="C2283" s="3">
        <f t="shared" si="143"/>
        <v>4441464.5021332307</v>
      </c>
      <c r="D2283" s="3">
        <f t="shared" si="145"/>
        <v>0.21973034087568521</v>
      </c>
      <c r="E2283" s="8">
        <f t="shared" si="146"/>
        <v>325.28571428571428</v>
      </c>
    </row>
    <row r="2284" spans="1:5" ht="18.5" x14ac:dyDescent="0.45">
      <c r="A2284" s="3">
        <v>2278</v>
      </c>
      <c r="B2284" s="9">
        <f t="shared" si="144"/>
        <v>0.99996954282926342</v>
      </c>
      <c r="C2284" s="3">
        <f t="shared" si="143"/>
        <v>4441464.7214304563</v>
      </c>
      <c r="D2284" s="3">
        <f t="shared" si="145"/>
        <v>0.21929722558706999</v>
      </c>
      <c r="E2284" s="8">
        <f t="shared" si="146"/>
        <v>325.42857142857144</v>
      </c>
    </row>
    <row r="2285" spans="1:5" ht="18.5" x14ac:dyDescent="0.45">
      <c r="A2285" s="3">
        <v>2279</v>
      </c>
      <c r="B2285" s="9">
        <f t="shared" si="144"/>
        <v>0.999969592105453</v>
      </c>
      <c r="C2285" s="3">
        <f t="shared" si="143"/>
        <v>4441464.9402955798</v>
      </c>
      <c r="D2285" s="3">
        <f t="shared" si="145"/>
        <v>0.21886512357741594</v>
      </c>
      <c r="E2285" s="8">
        <f t="shared" si="146"/>
        <v>325.57142857142856</v>
      </c>
    </row>
    <row r="2286" spans="1:5" ht="18.5" x14ac:dyDescent="0.45">
      <c r="A2286" s="3">
        <v>2280</v>
      </c>
      <c r="B2286" s="9">
        <f t="shared" si="144"/>
        <v>0.99996964128458421</v>
      </c>
      <c r="C2286" s="3">
        <f t="shared" si="143"/>
        <v>4441465.1587296091</v>
      </c>
      <c r="D2286" s="3">
        <f t="shared" si="145"/>
        <v>0.21843402925878763</v>
      </c>
      <c r="E2286" s="8">
        <f t="shared" si="146"/>
        <v>325.71428571428572</v>
      </c>
    </row>
    <row r="2287" spans="1:5" ht="18.5" x14ac:dyDescent="0.45">
      <c r="A2287" s="3">
        <v>2281</v>
      </c>
      <c r="B2287" s="9">
        <f t="shared" si="144"/>
        <v>0.99996969036688343</v>
      </c>
      <c r="C2287" s="3">
        <f t="shared" si="143"/>
        <v>4441465.3767335499</v>
      </c>
      <c r="D2287" s="3">
        <f t="shared" si="145"/>
        <v>0.21800394076853991</v>
      </c>
      <c r="E2287" s="8">
        <f t="shared" si="146"/>
        <v>325.85714285714283</v>
      </c>
    </row>
    <row r="2288" spans="1:5" ht="18.5" x14ac:dyDescent="0.45">
      <c r="A2288" s="3">
        <v>2282</v>
      </c>
      <c r="B2288" s="9">
        <f t="shared" si="144"/>
        <v>0.99996973935257671</v>
      </c>
      <c r="C2288" s="3">
        <f t="shared" si="143"/>
        <v>4441465.5943084052</v>
      </c>
      <c r="D2288" s="3">
        <f t="shared" si="145"/>
        <v>0.21757485531270504</v>
      </c>
      <c r="E2288" s="8">
        <f t="shared" si="146"/>
        <v>326</v>
      </c>
    </row>
    <row r="2289" spans="1:5" ht="18.5" x14ac:dyDescent="0.45">
      <c r="A2289" s="3">
        <v>2283</v>
      </c>
      <c r="B2289" s="9">
        <f t="shared" si="144"/>
        <v>0.99996978824188909</v>
      </c>
      <c r="C2289" s="3">
        <f t="shared" si="143"/>
        <v>4441465.8114551743</v>
      </c>
      <c r="D2289" s="3">
        <f t="shared" si="145"/>
        <v>0.21714676916599274</v>
      </c>
      <c r="E2289" s="8">
        <f t="shared" si="146"/>
        <v>326.14285714285717</v>
      </c>
    </row>
    <row r="2290" spans="1:5" ht="18.5" x14ac:dyDescent="0.45">
      <c r="A2290" s="3">
        <v>2284</v>
      </c>
      <c r="B2290" s="9">
        <f t="shared" si="144"/>
        <v>0.99996983703504527</v>
      </c>
      <c r="C2290" s="3">
        <f t="shared" si="143"/>
        <v>4441466.0281748567</v>
      </c>
      <c r="D2290" s="3">
        <f t="shared" si="145"/>
        <v>0.216719682328403</v>
      </c>
      <c r="E2290" s="8">
        <f t="shared" si="146"/>
        <v>326.28571428571428</v>
      </c>
    </row>
    <row r="2291" spans="1:5" ht="18.5" x14ac:dyDescent="0.45">
      <c r="A2291" s="3">
        <v>2285</v>
      </c>
      <c r="B2291" s="9">
        <f t="shared" si="144"/>
        <v>0.9999698857322693</v>
      </c>
      <c r="C2291" s="3">
        <f t="shared" si="143"/>
        <v>4441466.2444684478</v>
      </c>
      <c r="D2291" s="3">
        <f t="shared" si="145"/>
        <v>0.21629359107464552</v>
      </c>
      <c r="E2291" s="8">
        <f t="shared" si="146"/>
        <v>326.42857142857144</v>
      </c>
    </row>
    <row r="2292" spans="1:5" ht="18.5" x14ac:dyDescent="0.45">
      <c r="A2292" s="3">
        <v>2286</v>
      </c>
      <c r="B2292" s="9">
        <f t="shared" si="144"/>
        <v>0.99996993433378445</v>
      </c>
      <c r="C2292" s="3">
        <f t="shared" si="143"/>
        <v>4441466.4603369366</v>
      </c>
      <c r="D2292" s="3">
        <f t="shared" si="145"/>
        <v>0.21586848888546228</v>
      </c>
      <c r="E2292" s="8">
        <f t="shared" si="146"/>
        <v>326.57142857142856</v>
      </c>
    </row>
    <row r="2293" spans="1:5" ht="18.5" x14ac:dyDescent="0.45">
      <c r="A2293" s="3">
        <v>2287</v>
      </c>
      <c r="B2293" s="9">
        <f t="shared" si="144"/>
        <v>0.99996998283981364</v>
      </c>
      <c r="C2293" s="3">
        <f t="shared" si="143"/>
        <v>4441466.6757813161</v>
      </c>
      <c r="D2293" s="3">
        <f t="shared" si="145"/>
        <v>0.21544437948614359</v>
      </c>
      <c r="E2293" s="8">
        <f t="shared" si="146"/>
        <v>326.71428571428572</v>
      </c>
    </row>
    <row r="2294" spans="1:5" ht="18.5" x14ac:dyDescent="0.45">
      <c r="A2294" s="3">
        <v>2288</v>
      </c>
      <c r="B2294" s="9">
        <f t="shared" si="144"/>
        <v>0.99997003125057904</v>
      </c>
      <c r="C2294" s="3">
        <f t="shared" si="143"/>
        <v>4441466.8908025716</v>
      </c>
      <c r="D2294" s="3">
        <f t="shared" si="145"/>
        <v>0.21502125542610884</v>
      </c>
      <c r="E2294" s="8">
        <f t="shared" si="146"/>
        <v>326.85714285714283</v>
      </c>
    </row>
    <row r="2295" spans="1:5" ht="18.5" x14ac:dyDescent="0.45">
      <c r="A2295" s="3">
        <v>2289</v>
      </c>
      <c r="B2295" s="9">
        <f t="shared" si="144"/>
        <v>0.99997007956630224</v>
      </c>
      <c r="C2295" s="3">
        <f t="shared" si="143"/>
        <v>4441467.1054016883</v>
      </c>
      <c r="D2295" s="3">
        <f t="shared" si="145"/>
        <v>0.21459911670535803</v>
      </c>
      <c r="E2295" s="8">
        <f t="shared" si="146"/>
        <v>327</v>
      </c>
    </row>
    <row r="2296" spans="1:5" ht="18.5" x14ac:dyDescent="0.45">
      <c r="A2296" s="3">
        <v>2290</v>
      </c>
      <c r="B2296" s="9">
        <f t="shared" si="144"/>
        <v>0.99997012778720429</v>
      </c>
      <c r="C2296" s="3">
        <f t="shared" si="143"/>
        <v>4441467.3195796469</v>
      </c>
      <c r="D2296" s="3">
        <f t="shared" si="145"/>
        <v>0.21417795866727829</v>
      </c>
      <c r="E2296" s="8">
        <f t="shared" si="146"/>
        <v>327.14285714285717</v>
      </c>
    </row>
    <row r="2297" spans="1:5" ht="18.5" x14ac:dyDescent="0.45">
      <c r="A2297" s="3">
        <v>2291</v>
      </c>
      <c r="B2297" s="9">
        <f t="shared" si="144"/>
        <v>0.99997017591350545</v>
      </c>
      <c r="C2297" s="3">
        <f t="shared" si="143"/>
        <v>4441467.5333374254</v>
      </c>
      <c r="D2297" s="3">
        <f t="shared" si="145"/>
        <v>0.2137577785179019</v>
      </c>
      <c r="E2297" s="8">
        <f t="shared" si="146"/>
        <v>327.28571428571428</v>
      </c>
    </row>
    <row r="2298" spans="1:5" ht="18.5" x14ac:dyDescent="0.45">
      <c r="A2298" s="3">
        <v>2292</v>
      </c>
      <c r="B2298" s="9">
        <f t="shared" si="144"/>
        <v>0.99997022394542578</v>
      </c>
      <c r="C2298" s="3">
        <f t="shared" si="143"/>
        <v>4441467.7466760036</v>
      </c>
      <c r="D2298" s="3">
        <f t="shared" si="145"/>
        <v>0.213338578119874</v>
      </c>
      <c r="E2298" s="8">
        <f t="shared" si="146"/>
        <v>327.42857142857144</v>
      </c>
    </row>
    <row r="2299" spans="1:5" ht="18.5" x14ac:dyDescent="0.45">
      <c r="A2299" s="3">
        <v>2293</v>
      </c>
      <c r="B2299" s="9">
        <f t="shared" si="144"/>
        <v>0.99997027188318421</v>
      </c>
      <c r="C2299" s="3">
        <f t="shared" si="143"/>
        <v>4441467.9595963508</v>
      </c>
      <c r="D2299" s="3">
        <f t="shared" si="145"/>
        <v>0.21292034722864628</v>
      </c>
      <c r="E2299" s="8">
        <f t="shared" si="146"/>
        <v>327.57142857142856</v>
      </c>
    </row>
    <row r="2300" spans="1:5" ht="18.5" x14ac:dyDescent="0.45">
      <c r="A2300" s="3">
        <v>2294</v>
      </c>
      <c r="B2300" s="9">
        <f t="shared" si="144"/>
        <v>0.99997031972699957</v>
      </c>
      <c r="C2300" s="3">
        <f t="shared" si="143"/>
        <v>4441468.1720994413</v>
      </c>
      <c r="D2300" s="3">
        <f t="shared" si="145"/>
        <v>0.2125030905008316</v>
      </c>
      <c r="E2300" s="8">
        <f t="shared" si="146"/>
        <v>327.71428571428572</v>
      </c>
    </row>
    <row r="2301" spans="1:5" ht="18.5" x14ac:dyDescent="0.45">
      <c r="A2301" s="3">
        <v>2295</v>
      </c>
      <c r="B2301" s="9">
        <f t="shared" si="144"/>
        <v>0.99997036747708989</v>
      </c>
      <c r="C2301" s="3">
        <f t="shared" si="143"/>
        <v>4441468.3841862427</v>
      </c>
      <c r="D2301" s="3">
        <f t="shared" si="145"/>
        <v>0.21208680141717196</v>
      </c>
      <c r="E2301" s="8">
        <f t="shared" si="146"/>
        <v>327.85714285714283</v>
      </c>
    </row>
    <row r="2302" spans="1:5" ht="18.5" x14ac:dyDescent="0.45">
      <c r="A2302" s="3">
        <v>2296</v>
      </c>
      <c r="B2302" s="9">
        <f t="shared" si="144"/>
        <v>0.99997041513367257</v>
      </c>
      <c r="C2302" s="3">
        <f t="shared" si="143"/>
        <v>4441468.5958577199</v>
      </c>
      <c r="D2302" s="3">
        <f t="shared" si="145"/>
        <v>0.21167147718369961</v>
      </c>
      <c r="E2302" s="8">
        <f t="shared" si="146"/>
        <v>328</v>
      </c>
    </row>
    <row r="2303" spans="1:5" ht="18.5" x14ac:dyDescent="0.45">
      <c r="A2303" s="3">
        <v>2297</v>
      </c>
      <c r="B2303" s="9">
        <f t="shared" si="144"/>
        <v>0.99997046269696455</v>
      </c>
      <c r="C2303" s="3">
        <f t="shared" si="143"/>
        <v>4441468.8071148377</v>
      </c>
      <c r="D2303" s="3">
        <f t="shared" si="145"/>
        <v>0.21125711780041456</v>
      </c>
      <c r="E2303" s="8">
        <f t="shared" si="146"/>
        <v>328.14285714285717</v>
      </c>
    </row>
    <row r="2304" spans="1:5" ht="18.5" x14ac:dyDescent="0.45">
      <c r="A2304" s="3">
        <v>2298</v>
      </c>
      <c r="B2304" s="9">
        <f t="shared" si="144"/>
        <v>0.99997051016718197</v>
      </c>
      <c r="C2304" s="3">
        <f t="shared" si="143"/>
        <v>4441469.0179585554</v>
      </c>
      <c r="D2304" s="3">
        <f t="shared" si="145"/>
        <v>0.21084371767938137</v>
      </c>
      <c r="E2304" s="8">
        <f t="shared" si="146"/>
        <v>328.28571428571428</v>
      </c>
    </row>
    <row r="2305" spans="1:5" ht="18.5" x14ac:dyDescent="0.45">
      <c r="A2305" s="3">
        <v>2299</v>
      </c>
      <c r="B2305" s="9">
        <f t="shared" si="144"/>
        <v>0.99997055754454067</v>
      </c>
      <c r="C2305" s="3">
        <f t="shared" si="143"/>
        <v>4441469.2283898322</v>
      </c>
      <c r="D2305" s="3">
        <f t="shared" si="145"/>
        <v>0.21043127682060003</v>
      </c>
      <c r="E2305" s="8">
        <f t="shared" si="146"/>
        <v>328.42857142857144</v>
      </c>
    </row>
    <row r="2306" spans="1:5" ht="18.5" x14ac:dyDescent="0.45">
      <c r="A2306" s="3">
        <v>2300</v>
      </c>
      <c r="B2306" s="9">
        <f t="shared" si="144"/>
        <v>0.9999706048292557</v>
      </c>
      <c r="C2306" s="3">
        <f t="shared" si="143"/>
        <v>4441469.4384096218</v>
      </c>
      <c r="D2306" s="3">
        <f t="shared" si="145"/>
        <v>0.2100197896361351</v>
      </c>
      <c r="E2306" s="8">
        <f t="shared" si="146"/>
        <v>328.57142857142856</v>
      </c>
    </row>
    <row r="2307" spans="1:5" ht="18.5" x14ac:dyDescent="0.45">
      <c r="A2307" s="3">
        <v>2301</v>
      </c>
      <c r="B2307" s="9">
        <f t="shared" si="144"/>
        <v>0.99997065202154167</v>
      </c>
      <c r="C2307" s="3">
        <f t="shared" si="143"/>
        <v>4441469.6480188798</v>
      </c>
      <c r="D2307" s="3">
        <f t="shared" si="145"/>
        <v>0.20960925798863173</v>
      </c>
      <c r="E2307" s="8">
        <f t="shared" si="146"/>
        <v>328.71428571428572</v>
      </c>
    </row>
    <row r="2308" spans="1:5" ht="18.5" x14ac:dyDescent="0.45">
      <c r="A2308" s="3">
        <v>2302</v>
      </c>
      <c r="B2308" s="9">
        <f t="shared" si="144"/>
        <v>0.99997069912161252</v>
      </c>
      <c r="C2308" s="3">
        <f t="shared" si="143"/>
        <v>4441469.8572185542</v>
      </c>
      <c r="D2308" s="3">
        <f t="shared" si="145"/>
        <v>0.20919967442750931</v>
      </c>
      <c r="E2308" s="8">
        <f t="shared" si="146"/>
        <v>328.85714285714283</v>
      </c>
    </row>
    <row r="2309" spans="1:5" ht="18.5" x14ac:dyDescent="0.45">
      <c r="A2309" s="3">
        <v>2303</v>
      </c>
      <c r="B2309" s="9">
        <f t="shared" si="144"/>
        <v>0.99997074612968162</v>
      </c>
      <c r="C2309" s="3">
        <f t="shared" si="143"/>
        <v>4441470.0660095941</v>
      </c>
      <c r="D2309" s="3">
        <f t="shared" si="145"/>
        <v>0.20879103988409042</v>
      </c>
      <c r="E2309" s="8">
        <f t="shared" si="146"/>
        <v>329</v>
      </c>
    </row>
    <row r="2310" spans="1:5" ht="18.5" x14ac:dyDescent="0.45">
      <c r="A2310" s="3">
        <v>2304</v>
      </c>
      <c r="B2310" s="9">
        <f t="shared" si="144"/>
        <v>0.99997079304596181</v>
      </c>
      <c r="C2310" s="3">
        <f t="shared" si="143"/>
        <v>4441470.2743929438</v>
      </c>
      <c r="D2310" s="3">
        <f t="shared" si="145"/>
        <v>0.2083833497017622</v>
      </c>
      <c r="E2310" s="8">
        <f t="shared" si="146"/>
        <v>329.14285714285717</v>
      </c>
    </row>
    <row r="2311" spans="1:5" ht="18.5" x14ac:dyDescent="0.45">
      <c r="A2311" s="3">
        <v>2305</v>
      </c>
      <c r="B2311" s="9">
        <f t="shared" si="144"/>
        <v>0.99997083987066548</v>
      </c>
      <c r="C2311" s="3">
        <f t="shared" si="143"/>
        <v>4441470.4823695477</v>
      </c>
      <c r="D2311" s="3">
        <f t="shared" si="145"/>
        <v>0.20797660388052464</v>
      </c>
      <c r="E2311" s="8">
        <f t="shared" si="146"/>
        <v>329.28571428571428</v>
      </c>
    </row>
    <row r="2312" spans="1:5" ht="18.5" x14ac:dyDescent="0.45">
      <c r="A2312" s="3">
        <v>2306</v>
      </c>
      <c r="B2312" s="9">
        <f t="shared" si="144"/>
        <v>0.99997088660400413</v>
      </c>
      <c r="C2312" s="3">
        <f t="shared" ref="C2312:C2375" si="147">$E$3*B2312</f>
        <v>4441470.6899403445</v>
      </c>
      <c r="D2312" s="3">
        <f t="shared" si="145"/>
        <v>0.20757079683244228</v>
      </c>
      <c r="E2312" s="8">
        <f t="shared" si="146"/>
        <v>329.42857142857144</v>
      </c>
    </row>
    <row r="2313" spans="1:5" ht="18.5" x14ac:dyDescent="0.45">
      <c r="A2313" s="3">
        <v>2307</v>
      </c>
      <c r="B2313" s="9">
        <f t="shared" si="144"/>
        <v>0.99997093324618891</v>
      </c>
      <c r="C2313" s="3">
        <f t="shared" si="147"/>
        <v>4441470.8971062731</v>
      </c>
      <c r="D2313" s="3">
        <f t="shared" si="145"/>
        <v>0.20716592855751514</v>
      </c>
      <c r="E2313" s="8">
        <f t="shared" si="146"/>
        <v>329.57142857142856</v>
      </c>
    </row>
    <row r="2314" spans="1:5" ht="18.5" x14ac:dyDescent="0.45">
      <c r="A2314" s="3">
        <v>2308</v>
      </c>
      <c r="B2314" s="9">
        <f t="shared" si="144"/>
        <v>0.99997097979743044</v>
      </c>
      <c r="C2314" s="3">
        <f t="shared" si="147"/>
        <v>4441471.1038682666</v>
      </c>
      <c r="D2314" s="3">
        <f t="shared" si="145"/>
        <v>0.20676199346780777</v>
      </c>
      <c r="E2314" s="8">
        <f t="shared" si="146"/>
        <v>329.71428571428572</v>
      </c>
    </row>
    <row r="2315" spans="1:5" ht="18.5" x14ac:dyDescent="0.45">
      <c r="A2315" s="3">
        <v>2309</v>
      </c>
      <c r="B2315" s="9">
        <f t="shared" si="144"/>
        <v>0.99997102625793866</v>
      </c>
      <c r="C2315" s="3">
        <f t="shared" si="147"/>
        <v>4441471.31022726</v>
      </c>
      <c r="D2315" s="3">
        <f t="shared" si="145"/>
        <v>0.20635899342596531</v>
      </c>
      <c r="E2315" s="8">
        <f t="shared" si="146"/>
        <v>329.85714285714283</v>
      </c>
    </row>
    <row r="2316" spans="1:5" ht="18.5" x14ac:dyDescent="0.45">
      <c r="A2316" s="3">
        <v>2310</v>
      </c>
      <c r="B2316" s="9">
        <f t="shared" si="144"/>
        <v>0.99997107262792295</v>
      </c>
      <c r="C2316" s="3">
        <f t="shared" si="147"/>
        <v>4441471.5161841828</v>
      </c>
      <c r="D2316" s="3">
        <f t="shared" si="145"/>
        <v>0.20595692284405231</v>
      </c>
      <c r="E2316" s="8">
        <f t="shared" si="146"/>
        <v>330</v>
      </c>
    </row>
    <row r="2317" spans="1:5" ht="18.5" x14ac:dyDescent="0.45">
      <c r="A2317" s="3">
        <v>2311</v>
      </c>
      <c r="B2317" s="9">
        <f t="shared" si="144"/>
        <v>0.99997111890759227</v>
      </c>
      <c r="C2317" s="3">
        <f t="shared" si="147"/>
        <v>4441471.7217399618</v>
      </c>
      <c r="D2317" s="3">
        <f t="shared" si="145"/>
        <v>0.20555577892810106</v>
      </c>
      <c r="E2317" s="8">
        <f t="shared" si="146"/>
        <v>330.14285714285717</v>
      </c>
    </row>
    <row r="2318" spans="1:5" ht="18.5" x14ac:dyDescent="0.45">
      <c r="A2318" s="3">
        <v>2312</v>
      </c>
      <c r="B2318" s="9">
        <f t="shared" si="144"/>
        <v>0.999971165097155</v>
      </c>
      <c r="C2318" s="3">
        <f t="shared" si="147"/>
        <v>4441471.9268955234</v>
      </c>
      <c r="D2318" s="3">
        <f t="shared" si="145"/>
        <v>0.20515556167811155</v>
      </c>
      <c r="E2318" s="8">
        <f t="shared" si="146"/>
        <v>330.28571428571428</v>
      </c>
    </row>
    <row r="2319" spans="1:5" ht="18.5" x14ac:dyDescent="0.45">
      <c r="A2319" s="3">
        <v>2313</v>
      </c>
      <c r="B2319" s="9">
        <f t="shared" si="144"/>
        <v>0.99997121119681864</v>
      </c>
      <c r="C2319" s="3">
        <f t="shared" si="147"/>
        <v>4441472.1316517899</v>
      </c>
      <c r="D2319" s="3">
        <f t="shared" si="145"/>
        <v>0.20475626643747091</v>
      </c>
      <c r="E2319" s="8">
        <f t="shared" si="146"/>
        <v>330.42857142857144</v>
      </c>
    </row>
    <row r="2320" spans="1:5" ht="18.5" x14ac:dyDescent="0.45">
      <c r="A2320" s="3">
        <v>2314</v>
      </c>
      <c r="B2320" s="9">
        <f t="shared" si="144"/>
        <v>0.99997125720679059</v>
      </c>
      <c r="C2320" s="3">
        <f t="shared" si="147"/>
        <v>4441472.3360096812</v>
      </c>
      <c r="D2320" s="3">
        <f t="shared" si="145"/>
        <v>0.20435789134353399</v>
      </c>
      <c r="E2320" s="8">
        <f t="shared" si="146"/>
        <v>330.57142857142856</v>
      </c>
    </row>
    <row r="2321" spans="1:5" ht="18.5" x14ac:dyDescent="0.45">
      <c r="A2321" s="3">
        <v>2315</v>
      </c>
      <c r="B2321" s="9">
        <f t="shared" si="144"/>
        <v>0.99997130312727744</v>
      </c>
      <c r="C2321" s="3">
        <f t="shared" si="147"/>
        <v>4441472.5399701158</v>
      </c>
      <c r="D2321" s="3">
        <f t="shared" si="145"/>
        <v>0.20396043453365564</v>
      </c>
      <c r="E2321" s="8">
        <f t="shared" si="146"/>
        <v>330.71428571428572</v>
      </c>
    </row>
    <row r="2322" spans="1:5" ht="18.5" x14ac:dyDescent="0.45">
      <c r="A2322" s="3">
        <v>2316</v>
      </c>
      <c r="B2322" s="9">
        <f t="shared" si="144"/>
        <v>0.99997134895848527</v>
      </c>
      <c r="C2322" s="3">
        <f t="shared" si="147"/>
        <v>4441472.743534008</v>
      </c>
      <c r="D2322" s="3">
        <f t="shared" si="145"/>
        <v>0.20356389228254557</v>
      </c>
      <c r="E2322" s="8">
        <f t="shared" si="146"/>
        <v>330.85714285714283</v>
      </c>
    </row>
    <row r="2323" spans="1:5" ht="18.5" x14ac:dyDescent="0.45">
      <c r="A2323" s="3">
        <v>2317</v>
      </c>
      <c r="B2323" s="9">
        <f t="shared" si="144"/>
        <v>0.99997139470061958</v>
      </c>
      <c r="C2323" s="3">
        <f t="shared" si="147"/>
        <v>4441472.9467022717</v>
      </c>
      <c r="D2323" s="3">
        <f t="shared" si="145"/>
        <v>0.20316826365888119</v>
      </c>
      <c r="E2323" s="8">
        <f t="shared" si="146"/>
        <v>331</v>
      </c>
    </row>
    <row r="2324" spans="1:5" ht="18.5" x14ac:dyDescent="0.45">
      <c r="A2324" s="3">
        <v>2318</v>
      </c>
      <c r="B2324" s="9">
        <f t="shared" si="144"/>
        <v>0.99997144035388541</v>
      </c>
      <c r="C2324" s="3">
        <f t="shared" si="147"/>
        <v>4441473.1494758176</v>
      </c>
      <c r="D2324" s="3">
        <f t="shared" si="145"/>
        <v>0.20277354586869478</v>
      </c>
      <c r="E2324" s="8">
        <f t="shared" si="146"/>
        <v>331.14285714285717</v>
      </c>
    </row>
    <row r="2325" spans="1:5" ht="18.5" x14ac:dyDescent="0.45">
      <c r="A2325" s="3">
        <v>2319</v>
      </c>
      <c r="B2325" s="9">
        <f t="shared" si="144"/>
        <v>0.99997148591848728</v>
      </c>
      <c r="C2325" s="3">
        <f t="shared" si="147"/>
        <v>4441473.3518555528</v>
      </c>
      <c r="D2325" s="3">
        <f t="shared" si="145"/>
        <v>0.20237973518669605</v>
      </c>
      <c r="E2325" s="8">
        <f t="shared" si="146"/>
        <v>331.28571428571428</v>
      </c>
    </row>
    <row r="2326" spans="1:5" ht="18.5" x14ac:dyDescent="0.45">
      <c r="A2326" s="3">
        <v>2320</v>
      </c>
      <c r="B2326" s="9">
        <f t="shared" si="144"/>
        <v>0.99997153139462891</v>
      </c>
      <c r="C2326" s="3">
        <f t="shared" si="147"/>
        <v>4441473.5538423834</v>
      </c>
      <c r="D2326" s="3">
        <f t="shared" si="145"/>
        <v>0.20198683068156242</v>
      </c>
      <c r="E2326" s="8">
        <f t="shared" si="146"/>
        <v>331.42857142857144</v>
      </c>
    </row>
    <row r="2327" spans="1:5" ht="18.5" x14ac:dyDescent="0.45">
      <c r="A2327" s="3">
        <v>2321</v>
      </c>
      <c r="B2327" s="9">
        <f t="shared" ref="B2327:B2390" si="148">LOGNORMDIST(A2327,$A$3,$B$3)</f>
        <v>0.99997157678251369</v>
      </c>
      <c r="C2327" s="3">
        <f t="shared" si="147"/>
        <v>4441473.755437213</v>
      </c>
      <c r="D2327" s="3">
        <f t="shared" ref="D2327:D2390" si="149">C2327-C2326</f>
        <v>0.20159482955932617</v>
      </c>
      <c r="E2327" s="8">
        <f t="shared" ref="E2327:E2390" si="150">A2327/7</f>
        <v>331.57142857142856</v>
      </c>
    </row>
    <row r="2328" spans="1:5" ht="18.5" x14ac:dyDescent="0.45">
      <c r="A2328" s="3">
        <v>2322</v>
      </c>
      <c r="B2328" s="9">
        <f t="shared" si="148"/>
        <v>0.99997162208234458</v>
      </c>
      <c r="C2328" s="3">
        <f t="shared" si="147"/>
        <v>4441473.956640942</v>
      </c>
      <c r="D2328" s="3">
        <f t="shared" si="149"/>
        <v>0.20120372902601957</v>
      </c>
      <c r="E2328" s="8">
        <f t="shared" si="150"/>
        <v>331.71428571428572</v>
      </c>
    </row>
    <row r="2329" spans="1:5" ht="18.5" x14ac:dyDescent="0.45">
      <c r="A2329" s="3">
        <v>2323</v>
      </c>
      <c r="B2329" s="9">
        <f t="shared" si="148"/>
        <v>0.99997166729432374</v>
      </c>
      <c r="C2329" s="3">
        <f t="shared" si="147"/>
        <v>4441474.1574544683</v>
      </c>
      <c r="D2329" s="3">
        <f t="shared" si="149"/>
        <v>0.2008135262876749</v>
      </c>
      <c r="E2329" s="8">
        <f t="shared" si="150"/>
        <v>331.85714285714283</v>
      </c>
    </row>
    <row r="2330" spans="1:5" ht="18.5" x14ac:dyDescent="0.45">
      <c r="A2330" s="3">
        <v>2324</v>
      </c>
      <c r="B2330" s="9">
        <f t="shared" si="148"/>
        <v>0.9999717124186529</v>
      </c>
      <c r="C2330" s="3">
        <f t="shared" si="147"/>
        <v>4441474.3578786887</v>
      </c>
      <c r="D2330" s="3">
        <f t="shared" si="149"/>
        <v>0.20042422041296959</v>
      </c>
      <c r="E2330" s="8">
        <f t="shared" si="150"/>
        <v>332</v>
      </c>
    </row>
    <row r="2331" spans="1:5" ht="18.5" x14ac:dyDescent="0.45">
      <c r="A2331" s="3">
        <v>2325</v>
      </c>
      <c r="B2331" s="9">
        <f t="shared" si="148"/>
        <v>0.99997175745553335</v>
      </c>
      <c r="C2331" s="3">
        <f t="shared" si="147"/>
        <v>4441474.5579144973</v>
      </c>
      <c r="D2331" s="3">
        <f t="shared" si="149"/>
        <v>0.20003580860793591</v>
      </c>
      <c r="E2331" s="8">
        <f t="shared" si="150"/>
        <v>332.14285714285717</v>
      </c>
    </row>
    <row r="2332" spans="1:5" ht="18.5" x14ac:dyDescent="0.45">
      <c r="A2332" s="3">
        <v>2326</v>
      </c>
      <c r="B2332" s="9">
        <f t="shared" si="148"/>
        <v>0.99997180240516559</v>
      </c>
      <c r="C2332" s="3">
        <f t="shared" si="147"/>
        <v>4441474.7575627835</v>
      </c>
      <c r="D2332" s="3">
        <f t="shared" si="149"/>
        <v>0.19964828621596098</v>
      </c>
      <c r="E2332" s="8">
        <f t="shared" si="150"/>
        <v>332.28571428571428</v>
      </c>
    </row>
    <row r="2333" spans="1:5" ht="18.5" x14ac:dyDescent="0.45">
      <c r="A2333" s="3">
        <v>2327</v>
      </c>
      <c r="B2333" s="9">
        <f t="shared" si="148"/>
        <v>0.9999718472677499</v>
      </c>
      <c r="C2333" s="3">
        <f t="shared" si="147"/>
        <v>4441474.9568244377</v>
      </c>
      <c r="D2333" s="3">
        <f t="shared" si="149"/>
        <v>0.19926165416836739</v>
      </c>
      <c r="E2333" s="8">
        <f t="shared" si="150"/>
        <v>332.42857142857144</v>
      </c>
    </row>
    <row r="2334" spans="1:5" ht="18.5" x14ac:dyDescent="0.45">
      <c r="A2334" s="3">
        <v>2328</v>
      </c>
      <c r="B2334" s="9">
        <f t="shared" si="148"/>
        <v>0.9999718920434858</v>
      </c>
      <c r="C2334" s="3">
        <f t="shared" si="147"/>
        <v>4441475.1557003465</v>
      </c>
      <c r="D2334" s="3">
        <f t="shared" si="149"/>
        <v>0.19887590873986483</v>
      </c>
      <c r="E2334" s="8">
        <f t="shared" si="150"/>
        <v>332.57142857142856</v>
      </c>
    </row>
    <row r="2335" spans="1:5" ht="18.5" x14ac:dyDescent="0.45">
      <c r="A2335" s="3">
        <v>2329</v>
      </c>
      <c r="B2335" s="9">
        <f t="shared" si="148"/>
        <v>0.99997193673257234</v>
      </c>
      <c r="C2335" s="3">
        <f t="shared" si="147"/>
        <v>4441475.3541913936</v>
      </c>
      <c r="D2335" s="3">
        <f t="shared" si="149"/>
        <v>0.19849104713648558</v>
      </c>
      <c r="E2335" s="8">
        <f t="shared" si="150"/>
        <v>332.71428571428572</v>
      </c>
    </row>
    <row r="2336" spans="1:5" ht="18.5" x14ac:dyDescent="0.45">
      <c r="A2336" s="3">
        <v>2330</v>
      </c>
      <c r="B2336" s="9">
        <f t="shared" si="148"/>
        <v>0.99997198133520815</v>
      </c>
      <c r="C2336" s="3">
        <f t="shared" si="147"/>
        <v>4441475.5522984602</v>
      </c>
      <c r="D2336" s="3">
        <f t="shared" si="149"/>
        <v>0.19810706656426191</v>
      </c>
      <c r="E2336" s="8">
        <f t="shared" si="150"/>
        <v>332.85714285714283</v>
      </c>
    </row>
    <row r="2337" spans="1:5" ht="18.5" x14ac:dyDescent="0.45">
      <c r="A2337" s="3">
        <v>2331</v>
      </c>
      <c r="B2337" s="9">
        <f t="shared" si="148"/>
        <v>0.99997202585159106</v>
      </c>
      <c r="C2337" s="3">
        <f t="shared" si="147"/>
        <v>4441475.7500224272</v>
      </c>
      <c r="D2337" s="3">
        <f t="shared" si="149"/>
        <v>0.19772396702319384</v>
      </c>
      <c r="E2337" s="8">
        <f t="shared" si="150"/>
        <v>333</v>
      </c>
    </row>
    <row r="2338" spans="1:5" ht="18.5" x14ac:dyDescent="0.45">
      <c r="A2338" s="3">
        <v>2332</v>
      </c>
      <c r="B2338" s="9">
        <f t="shared" si="148"/>
        <v>0.99997207028191881</v>
      </c>
      <c r="C2338" s="3">
        <f t="shared" si="147"/>
        <v>4441475.947364171</v>
      </c>
      <c r="D2338" s="3">
        <f t="shared" si="149"/>
        <v>0.19734174385666847</v>
      </c>
      <c r="E2338" s="8">
        <f t="shared" si="150"/>
        <v>333.14285714285717</v>
      </c>
    </row>
    <row r="2339" spans="1:5" ht="18.5" x14ac:dyDescent="0.45">
      <c r="A2339" s="3">
        <v>2333</v>
      </c>
      <c r="B2339" s="9">
        <f t="shared" si="148"/>
        <v>0.99997211462638813</v>
      </c>
      <c r="C2339" s="3">
        <f t="shared" si="147"/>
        <v>4441476.1443245653</v>
      </c>
      <c r="D2339" s="3">
        <f t="shared" si="149"/>
        <v>0.1969603942707181</v>
      </c>
      <c r="E2339" s="8">
        <f t="shared" si="150"/>
        <v>333.28571428571428</v>
      </c>
    </row>
    <row r="2340" spans="1:5" ht="18.5" x14ac:dyDescent="0.45">
      <c r="A2340" s="3">
        <v>2334</v>
      </c>
      <c r="B2340" s="9">
        <f t="shared" si="148"/>
        <v>0.99997215888519553</v>
      </c>
      <c r="C2340" s="3">
        <f t="shared" si="147"/>
        <v>4441476.3409044845</v>
      </c>
      <c r="D2340" s="3">
        <f t="shared" si="149"/>
        <v>0.19657991919666529</v>
      </c>
      <c r="E2340" s="8">
        <f t="shared" si="150"/>
        <v>333.42857142857144</v>
      </c>
    </row>
    <row r="2341" spans="1:5" ht="18.5" x14ac:dyDescent="0.45">
      <c r="A2341" s="3">
        <v>2335</v>
      </c>
      <c r="B2341" s="9">
        <f t="shared" si="148"/>
        <v>0.99997220305853696</v>
      </c>
      <c r="C2341" s="3">
        <f t="shared" si="147"/>
        <v>4441476.5371047975</v>
      </c>
      <c r="D2341" s="3">
        <f t="shared" si="149"/>
        <v>0.19620031304657459</v>
      </c>
      <c r="E2341" s="8">
        <f t="shared" si="150"/>
        <v>333.57142857142856</v>
      </c>
    </row>
    <row r="2342" spans="1:5" ht="18.5" x14ac:dyDescent="0.45">
      <c r="A2342" s="3">
        <v>2336</v>
      </c>
      <c r="B2342" s="9">
        <f t="shared" si="148"/>
        <v>0.99997224714660782</v>
      </c>
      <c r="C2342" s="3">
        <f t="shared" si="147"/>
        <v>4441476.7329263734</v>
      </c>
      <c r="D2342" s="3">
        <f t="shared" si="149"/>
        <v>0.19582157582044601</v>
      </c>
      <c r="E2342" s="8">
        <f t="shared" si="150"/>
        <v>333.71428571428572</v>
      </c>
    </row>
    <row r="2343" spans="1:5" ht="18.5" x14ac:dyDescent="0.45">
      <c r="A2343" s="3">
        <v>2337</v>
      </c>
      <c r="B2343" s="9">
        <f t="shared" si="148"/>
        <v>0.99997229114960295</v>
      </c>
      <c r="C2343" s="3">
        <f t="shared" si="147"/>
        <v>4441476.9283700762</v>
      </c>
      <c r="D2343" s="3">
        <f t="shared" si="149"/>
        <v>0.19544370286166668</v>
      </c>
      <c r="E2343" s="8">
        <f t="shared" si="150"/>
        <v>333.85714285714283</v>
      </c>
    </row>
    <row r="2344" spans="1:5" ht="18.5" x14ac:dyDescent="0.45">
      <c r="A2344" s="3">
        <v>2338</v>
      </c>
      <c r="B2344" s="9">
        <f t="shared" si="148"/>
        <v>0.99997233506771677</v>
      </c>
      <c r="C2344" s="3">
        <f t="shared" si="147"/>
        <v>4441477.1234367704</v>
      </c>
      <c r="D2344" s="3">
        <f t="shared" si="149"/>
        <v>0.19506669417023659</v>
      </c>
      <c r="E2344" s="8">
        <f t="shared" si="150"/>
        <v>334</v>
      </c>
    </row>
    <row r="2345" spans="1:5" ht="18.5" x14ac:dyDescent="0.45">
      <c r="A2345" s="3">
        <v>2339</v>
      </c>
      <c r="B2345" s="9">
        <f t="shared" si="148"/>
        <v>0.9999723789011431</v>
      </c>
      <c r="C2345" s="3">
        <f t="shared" si="147"/>
        <v>4441477.3181273174</v>
      </c>
      <c r="D2345" s="3">
        <f t="shared" si="149"/>
        <v>0.19469054695218801</v>
      </c>
      <c r="E2345" s="8">
        <f t="shared" si="150"/>
        <v>334.14285714285717</v>
      </c>
    </row>
    <row r="2346" spans="1:5" ht="18.5" x14ac:dyDescent="0.45">
      <c r="A2346" s="3">
        <v>2340</v>
      </c>
      <c r="B2346" s="9">
        <f t="shared" si="148"/>
        <v>0.99997242265007513</v>
      </c>
      <c r="C2346" s="3">
        <f t="shared" si="147"/>
        <v>4441477.5124425739</v>
      </c>
      <c r="D2346" s="3">
        <f t="shared" si="149"/>
        <v>0.19431525655090809</v>
      </c>
      <c r="E2346" s="8">
        <f t="shared" si="150"/>
        <v>334.28571428571428</v>
      </c>
    </row>
    <row r="2347" spans="1:5" ht="18.5" x14ac:dyDescent="0.45">
      <c r="A2347" s="3">
        <v>2341</v>
      </c>
      <c r="B2347" s="9">
        <f t="shared" si="148"/>
        <v>0.99997246631470593</v>
      </c>
      <c r="C2347" s="3">
        <f t="shared" si="147"/>
        <v>4441477.7063833978</v>
      </c>
      <c r="D2347" s="3">
        <f t="shared" si="149"/>
        <v>0.19394082389771938</v>
      </c>
      <c r="E2347" s="8">
        <f t="shared" si="150"/>
        <v>334.42857142857144</v>
      </c>
    </row>
    <row r="2348" spans="1:5" ht="18.5" x14ac:dyDescent="0.45">
      <c r="A2348" s="3">
        <v>2342</v>
      </c>
      <c r="B2348" s="9">
        <f t="shared" si="148"/>
        <v>0.99997250989522757</v>
      </c>
      <c r="C2348" s="3">
        <f t="shared" si="147"/>
        <v>4441477.8999506431</v>
      </c>
      <c r="D2348" s="3">
        <f t="shared" si="149"/>
        <v>0.1935672452673316</v>
      </c>
      <c r="E2348" s="8">
        <f t="shared" si="150"/>
        <v>334.57142857142856</v>
      </c>
    </row>
    <row r="2349" spans="1:5" ht="18.5" x14ac:dyDescent="0.45">
      <c r="A2349" s="3">
        <v>2343</v>
      </c>
      <c r="B2349" s="9">
        <f t="shared" si="148"/>
        <v>0.99997255339183211</v>
      </c>
      <c r="C2349" s="3">
        <f t="shared" si="147"/>
        <v>4441478.0931451619</v>
      </c>
      <c r="D2349" s="3">
        <f t="shared" si="149"/>
        <v>0.19319451879709959</v>
      </c>
      <c r="E2349" s="8">
        <f t="shared" si="150"/>
        <v>334.71428571428572</v>
      </c>
    </row>
    <row r="2350" spans="1:5" ht="18.5" x14ac:dyDescent="0.45">
      <c r="A2350" s="3">
        <v>2344</v>
      </c>
      <c r="B2350" s="9">
        <f t="shared" si="148"/>
        <v>0.99997259680471062</v>
      </c>
      <c r="C2350" s="3">
        <f t="shared" si="147"/>
        <v>4441478.2859678026</v>
      </c>
      <c r="D2350" s="3">
        <f t="shared" si="149"/>
        <v>0.19282264076173306</v>
      </c>
      <c r="E2350" s="8">
        <f t="shared" si="150"/>
        <v>334.85714285714283</v>
      </c>
    </row>
    <row r="2351" spans="1:5" ht="18.5" x14ac:dyDescent="0.45">
      <c r="A2351" s="3">
        <v>2345</v>
      </c>
      <c r="B2351" s="9">
        <f t="shared" si="148"/>
        <v>0.99997264013405407</v>
      </c>
      <c r="C2351" s="3">
        <f t="shared" si="147"/>
        <v>4441478.4784194147</v>
      </c>
      <c r="D2351" s="3">
        <f t="shared" si="149"/>
        <v>0.19245161209255457</v>
      </c>
      <c r="E2351" s="8">
        <f t="shared" si="150"/>
        <v>335</v>
      </c>
    </row>
    <row r="2352" spans="1:5" ht="18.5" x14ac:dyDescent="0.45">
      <c r="A2352" s="3">
        <v>2346</v>
      </c>
      <c r="B2352" s="9">
        <f t="shared" si="148"/>
        <v>0.99997268338005263</v>
      </c>
      <c r="C2352" s="3">
        <f t="shared" si="147"/>
        <v>4441478.6705008419</v>
      </c>
      <c r="D2352" s="3">
        <f t="shared" si="149"/>
        <v>0.19208142720162868</v>
      </c>
      <c r="E2352" s="8">
        <f t="shared" si="150"/>
        <v>335.14285714285717</v>
      </c>
    </row>
    <row r="2353" spans="1:5" ht="18.5" x14ac:dyDescent="0.45">
      <c r="A2353" s="3">
        <v>2347</v>
      </c>
      <c r="B2353" s="9">
        <f t="shared" si="148"/>
        <v>0.99997272654289604</v>
      </c>
      <c r="C2353" s="3">
        <f t="shared" si="147"/>
        <v>4441478.8622129271</v>
      </c>
      <c r="D2353" s="3">
        <f t="shared" si="149"/>
        <v>0.19171208515763283</v>
      </c>
      <c r="E2353" s="8">
        <f t="shared" si="150"/>
        <v>335.28571428571428</v>
      </c>
    </row>
    <row r="2354" spans="1:5" ht="18.5" x14ac:dyDescent="0.45">
      <c r="A2354" s="3">
        <v>2348</v>
      </c>
      <c r="B2354" s="9">
        <f t="shared" si="148"/>
        <v>0.99997276962277382</v>
      </c>
      <c r="C2354" s="3">
        <f t="shared" si="147"/>
        <v>4441479.0535565121</v>
      </c>
      <c r="D2354" s="3">
        <f t="shared" si="149"/>
        <v>0.19134358502924442</v>
      </c>
      <c r="E2354" s="8">
        <f t="shared" si="150"/>
        <v>335.42857142857144</v>
      </c>
    </row>
    <row r="2355" spans="1:5" ht="18.5" x14ac:dyDescent="0.45">
      <c r="A2355" s="3">
        <v>2349</v>
      </c>
      <c r="B2355" s="9">
        <f t="shared" si="148"/>
        <v>0.99997281261987447</v>
      </c>
      <c r="C2355" s="3">
        <f t="shared" si="147"/>
        <v>4441479.2445324343</v>
      </c>
      <c r="D2355" s="3">
        <f t="shared" si="149"/>
        <v>0.1909759221598506</v>
      </c>
      <c r="E2355" s="8">
        <f t="shared" si="150"/>
        <v>335.57142857142856</v>
      </c>
    </row>
    <row r="2356" spans="1:5" ht="18.5" x14ac:dyDescent="0.45">
      <c r="A2356" s="3">
        <v>2350</v>
      </c>
      <c r="B2356" s="9">
        <f t="shared" si="148"/>
        <v>0.99997285553438642</v>
      </c>
      <c r="C2356" s="3">
        <f t="shared" si="147"/>
        <v>4441479.4351415308</v>
      </c>
      <c r="D2356" s="3">
        <f t="shared" si="149"/>
        <v>0.19060909654945135</v>
      </c>
      <c r="E2356" s="8">
        <f t="shared" si="150"/>
        <v>335.71428571428572</v>
      </c>
    </row>
    <row r="2357" spans="1:5" ht="18.5" x14ac:dyDescent="0.45">
      <c r="A2357" s="3">
        <v>2351</v>
      </c>
      <c r="B2357" s="9">
        <f t="shared" si="148"/>
        <v>0.9999728983664975</v>
      </c>
      <c r="C2357" s="3">
        <f t="shared" si="147"/>
        <v>4441479.6253846353</v>
      </c>
      <c r="D2357" s="3">
        <f t="shared" si="149"/>
        <v>0.19024310447275639</v>
      </c>
      <c r="E2357" s="8">
        <f t="shared" si="150"/>
        <v>335.85714285714283</v>
      </c>
    </row>
    <row r="2358" spans="1:5" ht="18.5" x14ac:dyDescent="0.45">
      <c r="A2358" s="3">
        <v>2352</v>
      </c>
      <c r="B2358" s="9">
        <f t="shared" si="148"/>
        <v>0.9999729411163949</v>
      </c>
      <c r="C2358" s="3">
        <f t="shared" si="147"/>
        <v>4441479.8152625794</v>
      </c>
      <c r="D2358" s="3">
        <f t="shared" si="149"/>
        <v>0.18987794406712055</v>
      </c>
      <c r="E2358" s="8">
        <f t="shared" si="150"/>
        <v>336</v>
      </c>
    </row>
    <row r="2359" spans="1:5" ht="18.5" x14ac:dyDescent="0.45">
      <c r="A2359" s="3">
        <v>2353</v>
      </c>
      <c r="B2359" s="9">
        <f t="shared" si="148"/>
        <v>0.99997298378426547</v>
      </c>
      <c r="C2359" s="3">
        <f t="shared" si="147"/>
        <v>4441480.0047761938</v>
      </c>
      <c r="D2359" s="3">
        <f t="shared" si="149"/>
        <v>0.18951361440122128</v>
      </c>
      <c r="E2359" s="8">
        <f t="shared" si="150"/>
        <v>336.14285714285717</v>
      </c>
    </row>
    <row r="2360" spans="1:5" ht="18.5" x14ac:dyDescent="0.45">
      <c r="A2360" s="3">
        <v>2354</v>
      </c>
      <c r="B2360" s="9">
        <f t="shared" si="148"/>
        <v>0.99997302637029561</v>
      </c>
      <c r="C2360" s="3">
        <f t="shared" si="147"/>
        <v>4441480.1939263046</v>
      </c>
      <c r="D2360" s="3">
        <f t="shared" si="149"/>
        <v>0.18915011081844568</v>
      </c>
      <c r="E2360" s="8">
        <f t="shared" si="150"/>
        <v>336.28571428571428</v>
      </c>
    </row>
    <row r="2361" spans="1:5" ht="18.5" x14ac:dyDescent="0.45">
      <c r="A2361" s="3">
        <v>2355</v>
      </c>
      <c r="B2361" s="9">
        <f t="shared" si="148"/>
        <v>0.99997306887467097</v>
      </c>
      <c r="C2361" s="3">
        <f t="shared" si="147"/>
        <v>4441480.3827137388</v>
      </c>
      <c r="D2361" s="3">
        <f t="shared" si="149"/>
        <v>0.18878743425011635</v>
      </c>
      <c r="E2361" s="8">
        <f t="shared" si="150"/>
        <v>336.42857142857144</v>
      </c>
    </row>
    <row r="2362" spans="1:5" ht="18.5" x14ac:dyDescent="0.45">
      <c r="A2362" s="3">
        <v>2356</v>
      </c>
      <c r="B2362" s="9">
        <f t="shared" si="148"/>
        <v>0.99997311129757693</v>
      </c>
      <c r="C2362" s="3">
        <f t="shared" si="147"/>
        <v>4441480.5711393179</v>
      </c>
      <c r="D2362" s="3">
        <f t="shared" si="149"/>
        <v>0.18842557910829782</v>
      </c>
      <c r="E2362" s="8">
        <f t="shared" si="150"/>
        <v>336.57142857142856</v>
      </c>
    </row>
    <row r="2363" spans="1:5" ht="18.5" x14ac:dyDescent="0.45">
      <c r="A2363" s="3">
        <v>2357</v>
      </c>
      <c r="B2363" s="9">
        <f t="shared" si="148"/>
        <v>0.99997315363919848</v>
      </c>
      <c r="C2363" s="3">
        <f t="shared" si="147"/>
        <v>4441480.7592038643</v>
      </c>
      <c r="D2363" s="3">
        <f t="shared" si="149"/>
        <v>0.18806454632431269</v>
      </c>
      <c r="E2363" s="8">
        <f t="shared" si="150"/>
        <v>336.71428571428572</v>
      </c>
    </row>
    <row r="2364" spans="1:5" ht="18.5" x14ac:dyDescent="0.45">
      <c r="A2364" s="3">
        <v>2358</v>
      </c>
      <c r="B2364" s="9">
        <f t="shared" si="148"/>
        <v>0.99997319589971978</v>
      </c>
      <c r="C2364" s="3">
        <f t="shared" si="147"/>
        <v>4441480.9469081955</v>
      </c>
      <c r="D2364" s="3">
        <f t="shared" si="149"/>
        <v>0.18770433124154806</v>
      </c>
      <c r="E2364" s="8">
        <f t="shared" si="150"/>
        <v>336.85714285714283</v>
      </c>
    </row>
    <row r="2365" spans="1:5" ht="18.5" x14ac:dyDescent="0.45">
      <c r="A2365" s="3">
        <v>2359</v>
      </c>
      <c r="B2365" s="9">
        <f t="shared" si="148"/>
        <v>0.99997323807932481</v>
      </c>
      <c r="C2365" s="3">
        <f t="shared" si="147"/>
        <v>4441481.1342531294</v>
      </c>
      <c r="D2365" s="3">
        <f t="shared" si="149"/>
        <v>0.18734493386000395</v>
      </c>
      <c r="E2365" s="8">
        <f t="shared" si="150"/>
        <v>337</v>
      </c>
    </row>
    <row r="2366" spans="1:5" ht="18.5" x14ac:dyDescent="0.45">
      <c r="A2366" s="3">
        <v>2360</v>
      </c>
      <c r="B2366" s="9">
        <f t="shared" si="148"/>
        <v>0.99997328017819698</v>
      </c>
      <c r="C2366" s="3">
        <f t="shared" si="147"/>
        <v>4441481.3212394798</v>
      </c>
      <c r="D2366" s="3">
        <f t="shared" si="149"/>
        <v>0.18698635045439005</v>
      </c>
      <c r="E2366" s="8">
        <f t="shared" si="150"/>
        <v>337.14285714285717</v>
      </c>
    </row>
    <row r="2367" spans="1:5" ht="18.5" x14ac:dyDescent="0.45">
      <c r="A2367" s="3">
        <v>2361</v>
      </c>
      <c r="B2367" s="9">
        <f t="shared" si="148"/>
        <v>0.99997332219651913</v>
      </c>
      <c r="C2367" s="3">
        <f t="shared" si="147"/>
        <v>4441481.507868059</v>
      </c>
      <c r="D2367" s="3">
        <f t="shared" si="149"/>
        <v>0.18662857916206121</v>
      </c>
      <c r="E2367" s="8">
        <f t="shared" si="150"/>
        <v>337.28571428571428</v>
      </c>
    </row>
    <row r="2368" spans="1:5" ht="18.5" x14ac:dyDescent="0.45">
      <c r="A2368" s="3">
        <v>2362</v>
      </c>
      <c r="B2368" s="9">
        <f t="shared" si="148"/>
        <v>0.99997336413447369</v>
      </c>
      <c r="C2368" s="3">
        <f t="shared" si="147"/>
        <v>4441481.694139678</v>
      </c>
      <c r="D2368" s="3">
        <f t="shared" si="149"/>
        <v>0.18627161905169487</v>
      </c>
      <c r="E2368" s="8">
        <f t="shared" si="150"/>
        <v>337.42857142857144</v>
      </c>
    </row>
    <row r="2369" spans="1:5" ht="18.5" x14ac:dyDescent="0.45">
      <c r="A2369" s="3">
        <v>2363</v>
      </c>
      <c r="B2369" s="9">
        <f t="shared" si="148"/>
        <v>0.99997340599224271</v>
      </c>
      <c r="C2369" s="3">
        <f t="shared" si="147"/>
        <v>4441481.8800551454</v>
      </c>
      <c r="D2369" s="3">
        <f t="shared" si="149"/>
        <v>0.18591546732932329</v>
      </c>
      <c r="E2369" s="8">
        <f t="shared" si="150"/>
        <v>337.57142857142856</v>
      </c>
    </row>
    <row r="2370" spans="1:5" ht="18.5" x14ac:dyDescent="0.45">
      <c r="A2370" s="3">
        <v>2364</v>
      </c>
      <c r="B2370" s="9">
        <f t="shared" si="148"/>
        <v>0.99997344777000752</v>
      </c>
      <c r="C2370" s="3">
        <f t="shared" si="147"/>
        <v>4441482.0656152656</v>
      </c>
      <c r="D2370" s="3">
        <f t="shared" si="149"/>
        <v>0.18556012026965618</v>
      </c>
      <c r="E2370" s="8">
        <f t="shared" si="150"/>
        <v>337.71428571428572</v>
      </c>
    </row>
    <row r="2371" spans="1:5" ht="18.5" x14ac:dyDescent="0.45">
      <c r="A2371" s="3">
        <v>2365</v>
      </c>
      <c r="B2371" s="9">
        <f t="shared" si="148"/>
        <v>0.99997348946794917</v>
      </c>
      <c r="C2371" s="3">
        <f t="shared" si="147"/>
        <v>4441482.2508208435</v>
      </c>
      <c r="D2371" s="3">
        <f t="shared" si="149"/>
        <v>0.18520557787269354</v>
      </c>
      <c r="E2371" s="8">
        <f t="shared" si="150"/>
        <v>337.85714285714283</v>
      </c>
    </row>
    <row r="2372" spans="1:5" ht="18.5" x14ac:dyDescent="0.45">
      <c r="A2372" s="3">
        <v>2366</v>
      </c>
      <c r="B2372" s="9">
        <f t="shared" si="148"/>
        <v>0.9999735310862482</v>
      </c>
      <c r="C2372" s="3">
        <f t="shared" si="147"/>
        <v>4441482.4356726799</v>
      </c>
      <c r="D2372" s="3">
        <f t="shared" si="149"/>
        <v>0.18485183641314507</v>
      </c>
      <c r="E2372" s="8">
        <f t="shared" si="150"/>
        <v>338</v>
      </c>
    </row>
    <row r="2373" spans="1:5" ht="18.5" x14ac:dyDescent="0.45">
      <c r="A2373" s="3">
        <v>2367</v>
      </c>
      <c r="B2373" s="9">
        <f t="shared" si="148"/>
        <v>0.99997357262508468</v>
      </c>
      <c r="C2373" s="3">
        <f t="shared" si="147"/>
        <v>4441482.6201715758</v>
      </c>
      <c r="D2373" s="3">
        <f t="shared" si="149"/>
        <v>0.18449889589101076</v>
      </c>
      <c r="E2373" s="8">
        <f t="shared" si="150"/>
        <v>338.14285714285717</v>
      </c>
    </row>
    <row r="2374" spans="1:5" ht="18.5" x14ac:dyDescent="0.45">
      <c r="A2374" s="3">
        <v>2368</v>
      </c>
      <c r="B2374" s="9">
        <f t="shared" si="148"/>
        <v>0.99997361408463814</v>
      </c>
      <c r="C2374" s="3">
        <f t="shared" si="147"/>
        <v>4441482.8043183284</v>
      </c>
      <c r="D2374" s="3">
        <f t="shared" si="149"/>
        <v>0.18414675258100033</v>
      </c>
      <c r="E2374" s="8">
        <f t="shared" si="150"/>
        <v>338.28571428571428</v>
      </c>
    </row>
    <row r="2375" spans="1:5" ht="18.5" x14ac:dyDescent="0.45">
      <c r="A2375" s="3">
        <v>2369</v>
      </c>
      <c r="B2375" s="9">
        <f t="shared" si="148"/>
        <v>0.99997365546508765</v>
      </c>
      <c r="C2375" s="3">
        <f t="shared" si="147"/>
        <v>4441482.988113733</v>
      </c>
      <c r="D2375" s="3">
        <f t="shared" si="149"/>
        <v>0.18379540462046862</v>
      </c>
      <c r="E2375" s="8">
        <f t="shared" si="150"/>
        <v>338.42857142857144</v>
      </c>
    </row>
    <row r="2376" spans="1:5" ht="18.5" x14ac:dyDescent="0.45">
      <c r="A2376" s="3">
        <v>2370</v>
      </c>
      <c r="B2376" s="9">
        <f t="shared" si="148"/>
        <v>0.99997369676661196</v>
      </c>
      <c r="C2376" s="3">
        <f t="shared" ref="C2376:C2439" si="151">$E$3*B2376</f>
        <v>4441483.1715585841</v>
      </c>
      <c r="D2376" s="3">
        <f t="shared" si="149"/>
        <v>0.18344485107809305</v>
      </c>
      <c r="E2376" s="8">
        <f t="shared" si="150"/>
        <v>338.57142857142856</v>
      </c>
    </row>
    <row r="2377" spans="1:5" ht="18.5" x14ac:dyDescent="0.45">
      <c r="A2377" s="3">
        <v>2371</v>
      </c>
      <c r="B2377" s="9">
        <f t="shared" si="148"/>
        <v>0.99997373798938916</v>
      </c>
      <c r="C2377" s="3">
        <f t="shared" si="151"/>
        <v>4441483.3546536705</v>
      </c>
      <c r="D2377" s="3">
        <f t="shared" si="149"/>
        <v>0.18309508636593819</v>
      </c>
      <c r="E2377" s="8">
        <f t="shared" si="150"/>
        <v>338.71428571428572</v>
      </c>
    </row>
    <row r="2378" spans="1:5" ht="18.5" x14ac:dyDescent="0.45">
      <c r="A2378" s="3">
        <v>2372</v>
      </c>
      <c r="B2378" s="9">
        <f t="shared" si="148"/>
        <v>0.99997377913359697</v>
      </c>
      <c r="C2378" s="3">
        <f t="shared" si="151"/>
        <v>4441483.5373997847</v>
      </c>
      <c r="D2378" s="3">
        <f t="shared" si="149"/>
        <v>0.18274611420929432</v>
      </c>
      <c r="E2378" s="8">
        <f t="shared" si="150"/>
        <v>338.85714285714283</v>
      </c>
    </row>
    <row r="2379" spans="1:5" ht="18.5" x14ac:dyDescent="0.45">
      <c r="A2379" s="3">
        <v>2373</v>
      </c>
      <c r="B2379" s="9">
        <f t="shared" si="148"/>
        <v>0.99997382019941272</v>
      </c>
      <c r="C2379" s="3">
        <f t="shared" si="151"/>
        <v>4441483.7197977118</v>
      </c>
      <c r="D2379" s="3">
        <f t="shared" si="149"/>
        <v>0.18239792715758085</v>
      </c>
      <c r="E2379" s="8">
        <f t="shared" si="150"/>
        <v>339</v>
      </c>
    </row>
    <row r="2380" spans="1:5" ht="18.5" x14ac:dyDescent="0.45">
      <c r="A2380" s="3">
        <v>2374</v>
      </c>
      <c r="B2380" s="9">
        <f t="shared" si="148"/>
        <v>0.99997386118701292</v>
      </c>
      <c r="C2380" s="3">
        <f t="shared" si="151"/>
        <v>4441483.901848237</v>
      </c>
      <c r="D2380" s="3">
        <f t="shared" si="149"/>
        <v>0.18205052521079779</v>
      </c>
      <c r="E2380" s="8">
        <f t="shared" si="150"/>
        <v>339.14285714285717</v>
      </c>
    </row>
    <row r="2381" spans="1:5" ht="18.5" x14ac:dyDescent="0.45">
      <c r="A2381" s="3">
        <v>2375</v>
      </c>
      <c r="B2381" s="9">
        <f t="shared" si="148"/>
        <v>0.99997390209657422</v>
      </c>
      <c r="C2381" s="3">
        <f t="shared" si="151"/>
        <v>4441484.0835521445</v>
      </c>
      <c r="D2381" s="3">
        <f t="shared" si="149"/>
        <v>0.18170390743762255</v>
      </c>
      <c r="E2381" s="8">
        <f t="shared" si="150"/>
        <v>339.28571428571428</v>
      </c>
    </row>
    <row r="2382" spans="1:5" ht="18.5" x14ac:dyDescent="0.45">
      <c r="A2382" s="3">
        <v>2376</v>
      </c>
      <c r="B2382" s="9">
        <f t="shared" si="148"/>
        <v>0.99997394292827224</v>
      </c>
      <c r="C2382" s="3">
        <f t="shared" si="151"/>
        <v>4441484.2649102136</v>
      </c>
      <c r="D2382" s="3">
        <f t="shared" si="149"/>
        <v>0.18135806918144226</v>
      </c>
      <c r="E2382" s="8">
        <f t="shared" si="150"/>
        <v>339.42857142857144</v>
      </c>
    </row>
    <row r="2383" spans="1:5" ht="18.5" x14ac:dyDescent="0.45">
      <c r="A2383" s="3">
        <v>2377</v>
      </c>
      <c r="B2383" s="9">
        <f t="shared" si="148"/>
        <v>0.99997398368228241</v>
      </c>
      <c r="C2383" s="3">
        <f t="shared" si="151"/>
        <v>4441484.445923226</v>
      </c>
      <c r="D2383" s="3">
        <f t="shared" si="149"/>
        <v>0.18101301230490208</v>
      </c>
      <c r="E2383" s="8">
        <f t="shared" si="150"/>
        <v>339.57142857142856</v>
      </c>
    </row>
    <row r="2384" spans="1:5" ht="18.5" x14ac:dyDescent="0.45">
      <c r="A2384" s="3">
        <v>2378</v>
      </c>
      <c r="B2384" s="9">
        <f t="shared" si="148"/>
        <v>0.9999740243587798</v>
      </c>
      <c r="C2384" s="3">
        <f t="shared" si="151"/>
        <v>4441484.6265919562</v>
      </c>
      <c r="D2384" s="3">
        <f t="shared" si="149"/>
        <v>0.18066873028874397</v>
      </c>
      <c r="E2384" s="8">
        <f t="shared" si="150"/>
        <v>339.71428571428572</v>
      </c>
    </row>
    <row r="2385" spans="1:5" ht="18.5" x14ac:dyDescent="0.45">
      <c r="A2385" s="3">
        <v>2379</v>
      </c>
      <c r="B2385" s="9">
        <f t="shared" si="148"/>
        <v>0.99997406495793872</v>
      </c>
      <c r="C2385" s="3">
        <f t="shared" si="151"/>
        <v>4441484.8069171803</v>
      </c>
      <c r="D2385" s="3">
        <f t="shared" si="149"/>
        <v>0.18032522406429052</v>
      </c>
      <c r="E2385" s="8">
        <f t="shared" si="150"/>
        <v>339.85714285714283</v>
      </c>
    </row>
    <row r="2386" spans="1:5" ht="18.5" x14ac:dyDescent="0.45">
      <c r="A2386" s="3">
        <v>2380</v>
      </c>
      <c r="B2386" s="9">
        <f t="shared" si="148"/>
        <v>0.99997410547993326</v>
      </c>
      <c r="C2386" s="3">
        <f t="shared" si="151"/>
        <v>4441484.9868996711</v>
      </c>
      <c r="D2386" s="3">
        <f t="shared" si="149"/>
        <v>0.17998249083757401</v>
      </c>
      <c r="E2386" s="8">
        <f t="shared" si="150"/>
        <v>340</v>
      </c>
    </row>
    <row r="2387" spans="1:5" ht="18.5" x14ac:dyDescent="0.45">
      <c r="A2387" s="3">
        <v>2381</v>
      </c>
      <c r="B2387" s="9">
        <f t="shared" si="148"/>
        <v>0.99997414592493694</v>
      </c>
      <c r="C2387" s="3">
        <f t="shared" si="151"/>
        <v>4441485.1665401999</v>
      </c>
      <c r="D2387" s="3">
        <f t="shared" si="149"/>
        <v>0.17964052874594927</v>
      </c>
      <c r="E2387" s="8">
        <f t="shared" si="150"/>
        <v>340.14285714285717</v>
      </c>
    </row>
    <row r="2388" spans="1:5" ht="18.5" x14ac:dyDescent="0.45">
      <c r="A2388" s="3">
        <v>2382</v>
      </c>
      <c r="B2388" s="9">
        <f t="shared" si="148"/>
        <v>0.99997418629312307</v>
      </c>
      <c r="C2388" s="3">
        <f t="shared" si="151"/>
        <v>4441485.3458395358</v>
      </c>
      <c r="D2388" s="3">
        <f t="shared" si="149"/>
        <v>0.17929933592677116</v>
      </c>
      <c r="E2388" s="8">
        <f t="shared" si="150"/>
        <v>340.28571428571428</v>
      </c>
    </row>
    <row r="2389" spans="1:5" ht="18.5" x14ac:dyDescent="0.45">
      <c r="A2389" s="3">
        <v>2383</v>
      </c>
      <c r="B2389" s="9">
        <f t="shared" si="148"/>
        <v>0.99997422658466406</v>
      </c>
      <c r="C2389" s="3">
        <f t="shared" si="151"/>
        <v>4441485.5247984435</v>
      </c>
      <c r="D2389" s="3">
        <f t="shared" si="149"/>
        <v>0.17895890772342682</v>
      </c>
      <c r="E2389" s="8">
        <f t="shared" si="150"/>
        <v>340.42857142857144</v>
      </c>
    </row>
    <row r="2390" spans="1:5" ht="18.5" x14ac:dyDescent="0.45">
      <c r="A2390" s="3">
        <v>2384</v>
      </c>
      <c r="B2390" s="9">
        <f t="shared" si="148"/>
        <v>0.99997426679973234</v>
      </c>
      <c r="C2390" s="3">
        <f t="shared" si="151"/>
        <v>4441485.7034176914</v>
      </c>
      <c r="D2390" s="3">
        <f t="shared" si="149"/>
        <v>0.17861924786120653</v>
      </c>
      <c r="E2390" s="8">
        <f t="shared" si="150"/>
        <v>340.57142857142856</v>
      </c>
    </row>
    <row r="2391" spans="1:5" ht="18.5" x14ac:dyDescent="0.45">
      <c r="A2391" s="3">
        <v>2385</v>
      </c>
      <c r="B2391" s="9">
        <f t="shared" ref="B2391:B2454" si="152">LOGNORMDIST(A2391,$A$3,$B$3)</f>
        <v>0.99997430693849954</v>
      </c>
      <c r="C2391" s="3">
        <f t="shared" si="151"/>
        <v>4441485.8816980394</v>
      </c>
      <c r="D2391" s="3">
        <f t="shared" ref="D2391:D2454" si="153">C2391-C2390</f>
        <v>0.17828034795820713</v>
      </c>
      <c r="E2391" s="8">
        <f t="shared" ref="E2391:E2454" si="154">A2391/7</f>
        <v>340.71428571428572</v>
      </c>
    </row>
    <row r="2392" spans="1:5" ht="18.5" x14ac:dyDescent="0.45">
      <c r="A2392" s="3">
        <v>2386</v>
      </c>
      <c r="B2392" s="9">
        <f t="shared" si="152"/>
        <v>0.99997434700113697</v>
      </c>
      <c r="C2392" s="3">
        <f t="shared" si="151"/>
        <v>4441486.0596402502</v>
      </c>
      <c r="D2392" s="3">
        <f t="shared" si="153"/>
        <v>0.17794221080839634</v>
      </c>
      <c r="E2392" s="8">
        <f t="shared" si="154"/>
        <v>340.85714285714283</v>
      </c>
    </row>
    <row r="2393" spans="1:5" ht="18.5" x14ac:dyDescent="0.45">
      <c r="A2393" s="3">
        <v>2387</v>
      </c>
      <c r="B2393" s="9">
        <f t="shared" si="152"/>
        <v>0.9999743869878156</v>
      </c>
      <c r="C2393" s="3">
        <f t="shared" si="151"/>
        <v>4441486.2372450819</v>
      </c>
      <c r="D2393" s="3">
        <f t="shared" si="153"/>
        <v>0.17760483175516129</v>
      </c>
      <c r="E2393" s="8">
        <f t="shared" si="154"/>
        <v>341</v>
      </c>
    </row>
    <row r="2394" spans="1:5" ht="18.5" x14ac:dyDescent="0.45">
      <c r="A2394" s="3">
        <v>2388</v>
      </c>
      <c r="B2394" s="9">
        <f t="shared" si="152"/>
        <v>0.99997442689870586</v>
      </c>
      <c r="C2394" s="3">
        <f t="shared" si="151"/>
        <v>4441486.4145132918</v>
      </c>
      <c r="D2394" s="3">
        <f t="shared" si="153"/>
        <v>0.17726820986717939</v>
      </c>
      <c r="E2394" s="8">
        <f t="shared" si="154"/>
        <v>341.14285714285717</v>
      </c>
    </row>
    <row r="2395" spans="1:5" ht="18.5" x14ac:dyDescent="0.45">
      <c r="A2395" s="3">
        <v>2389</v>
      </c>
      <c r="B2395" s="9">
        <f t="shared" si="152"/>
        <v>0.99997446673397772</v>
      </c>
      <c r="C2395" s="3">
        <f t="shared" si="151"/>
        <v>4441486.5914456351</v>
      </c>
      <c r="D2395" s="3">
        <f t="shared" si="153"/>
        <v>0.17693234328180552</v>
      </c>
      <c r="E2395" s="8">
        <f t="shared" si="154"/>
        <v>341.28571428571428</v>
      </c>
    </row>
    <row r="2396" spans="1:5" ht="18.5" x14ac:dyDescent="0.45">
      <c r="A2396" s="3">
        <v>2390</v>
      </c>
      <c r="B2396" s="9">
        <f t="shared" si="152"/>
        <v>0.99997450649380071</v>
      </c>
      <c r="C2396" s="3">
        <f t="shared" si="151"/>
        <v>4441486.7680428652</v>
      </c>
      <c r="D2396" s="3">
        <f t="shared" si="153"/>
        <v>0.1765972301363945</v>
      </c>
      <c r="E2396" s="8">
        <f t="shared" si="154"/>
        <v>341.42857142857144</v>
      </c>
    </row>
    <row r="2397" spans="1:5" ht="18.5" x14ac:dyDescent="0.45">
      <c r="A2397" s="3">
        <v>2391</v>
      </c>
      <c r="B2397" s="9">
        <f t="shared" si="152"/>
        <v>0.9999745461783438</v>
      </c>
      <c r="C2397" s="3">
        <f t="shared" si="151"/>
        <v>4441486.9443057319</v>
      </c>
      <c r="D2397" s="3">
        <f t="shared" si="153"/>
        <v>0.17626286670565605</v>
      </c>
      <c r="E2397" s="8">
        <f t="shared" si="154"/>
        <v>341.57142857142856</v>
      </c>
    </row>
    <row r="2398" spans="1:5" ht="18.5" x14ac:dyDescent="0.45">
      <c r="A2398" s="3">
        <v>2392</v>
      </c>
      <c r="B2398" s="9">
        <f t="shared" si="152"/>
        <v>0.99997458578777598</v>
      </c>
      <c r="C2398" s="3">
        <f t="shared" si="151"/>
        <v>4441487.1202349858</v>
      </c>
      <c r="D2398" s="3">
        <f t="shared" si="153"/>
        <v>0.17592925392091274</v>
      </c>
      <c r="E2398" s="8">
        <f t="shared" si="154"/>
        <v>341.71428571428572</v>
      </c>
    </row>
    <row r="2399" spans="1:5" ht="18.5" x14ac:dyDescent="0.45">
      <c r="A2399" s="3">
        <v>2393</v>
      </c>
      <c r="B2399" s="9">
        <f t="shared" si="152"/>
        <v>0.99997462532226522</v>
      </c>
      <c r="C2399" s="3">
        <f t="shared" si="151"/>
        <v>4441487.295831373</v>
      </c>
      <c r="D2399" s="3">
        <f t="shared" si="153"/>
        <v>0.1755963871255517</v>
      </c>
      <c r="E2399" s="8">
        <f t="shared" si="154"/>
        <v>341.85714285714283</v>
      </c>
    </row>
    <row r="2400" spans="1:5" ht="18.5" x14ac:dyDescent="0.45">
      <c r="A2400" s="3">
        <v>2394</v>
      </c>
      <c r="B2400" s="9">
        <f t="shared" si="152"/>
        <v>0.99997466478197927</v>
      </c>
      <c r="C2400" s="3">
        <f t="shared" si="151"/>
        <v>4441487.4710956393</v>
      </c>
      <c r="D2400" s="3">
        <f t="shared" si="153"/>
        <v>0.17526426631957293</v>
      </c>
      <c r="E2400" s="8">
        <f t="shared" si="154"/>
        <v>342</v>
      </c>
    </row>
    <row r="2401" spans="1:5" ht="18.5" x14ac:dyDescent="0.45">
      <c r="A2401" s="3">
        <v>2395</v>
      </c>
      <c r="B2401" s="9">
        <f t="shared" si="152"/>
        <v>0.99997470416708578</v>
      </c>
      <c r="C2401" s="3">
        <f t="shared" si="151"/>
        <v>4441487.646028528</v>
      </c>
      <c r="D2401" s="3">
        <f t="shared" si="153"/>
        <v>0.17493288870900869</v>
      </c>
      <c r="E2401" s="8">
        <f t="shared" si="154"/>
        <v>342.14285714285717</v>
      </c>
    </row>
    <row r="2402" spans="1:5" ht="18.5" x14ac:dyDescent="0.45">
      <c r="A2402" s="3">
        <v>2396</v>
      </c>
      <c r="B2402" s="9">
        <f t="shared" si="152"/>
        <v>0.99997474347775139</v>
      </c>
      <c r="C2402" s="3">
        <f t="shared" si="151"/>
        <v>4441487.8206307804</v>
      </c>
      <c r="D2402" s="3">
        <f t="shared" si="153"/>
        <v>0.17460225243121386</v>
      </c>
      <c r="E2402" s="8">
        <f t="shared" si="154"/>
        <v>342.28571428571428</v>
      </c>
    </row>
    <row r="2403" spans="1:5" ht="18.5" x14ac:dyDescent="0.45">
      <c r="A2403" s="3">
        <v>2397</v>
      </c>
      <c r="B2403" s="9">
        <f t="shared" si="152"/>
        <v>0.99997478271414275</v>
      </c>
      <c r="C2403" s="3">
        <f t="shared" si="151"/>
        <v>4441487.994903136</v>
      </c>
      <c r="D2403" s="3">
        <f t="shared" si="153"/>
        <v>0.17427235562354326</v>
      </c>
      <c r="E2403" s="8">
        <f t="shared" si="154"/>
        <v>342.42857142857144</v>
      </c>
    </row>
    <row r="2404" spans="1:5" ht="18.5" x14ac:dyDescent="0.45">
      <c r="A2404" s="3">
        <v>2398</v>
      </c>
      <c r="B2404" s="9">
        <f t="shared" si="152"/>
        <v>0.99997482187642583</v>
      </c>
      <c r="C2404" s="3">
        <f t="shared" si="151"/>
        <v>4441488.1688463334</v>
      </c>
      <c r="D2404" s="3">
        <f t="shared" si="153"/>
        <v>0.17394319735467434</v>
      </c>
      <c r="E2404" s="8">
        <f t="shared" si="154"/>
        <v>342.57142857142856</v>
      </c>
    </row>
    <row r="2405" spans="1:5" ht="18.5" x14ac:dyDescent="0.45">
      <c r="A2405" s="3">
        <v>2399</v>
      </c>
      <c r="B2405" s="9">
        <f t="shared" si="152"/>
        <v>0.99997486096476629</v>
      </c>
      <c r="C2405" s="3">
        <f t="shared" si="151"/>
        <v>4441488.3424611064</v>
      </c>
      <c r="D2405" s="3">
        <f t="shared" si="153"/>
        <v>0.17361477296799421</v>
      </c>
      <c r="E2405" s="8">
        <f t="shared" si="154"/>
        <v>342.71428571428572</v>
      </c>
    </row>
    <row r="2406" spans="1:5" ht="18.5" x14ac:dyDescent="0.45">
      <c r="A2406" s="3">
        <v>2400</v>
      </c>
      <c r="B2406" s="9">
        <f t="shared" si="152"/>
        <v>0.99997489997932931</v>
      </c>
      <c r="C2406" s="3">
        <f t="shared" si="151"/>
        <v>4441488.5157481888</v>
      </c>
      <c r="D2406" s="3">
        <f t="shared" si="153"/>
        <v>0.17328708246350288</v>
      </c>
      <c r="E2406" s="8">
        <f t="shared" si="154"/>
        <v>342.85714285714283</v>
      </c>
    </row>
    <row r="2407" spans="1:5" ht="18.5" x14ac:dyDescent="0.45">
      <c r="A2407" s="3">
        <v>2401</v>
      </c>
      <c r="B2407" s="9">
        <f t="shared" si="152"/>
        <v>0.99997493892027967</v>
      </c>
      <c r="C2407" s="3">
        <f t="shared" si="151"/>
        <v>4441488.6887083137</v>
      </c>
      <c r="D2407" s="3">
        <f t="shared" si="153"/>
        <v>0.17296012490987778</v>
      </c>
      <c r="E2407" s="8">
        <f t="shared" si="154"/>
        <v>343</v>
      </c>
    </row>
    <row r="2408" spans="1:5" ht="18.5" x14ac:dyDescent="0.45">
      <c r="A2408" s="3">
        <v>2402</v>
      </c>
      <c r="B2408" s="9">
        <f t="shared" si="152"/>
        <v>0.99997497778778177</v>
      </c>
      <c r="C2408" s="3">
        <f t="shared" si="151"/>
        <v>4441488.8613422113</v>
      </c>
      <c r="D2408" s="3">
        <f t="shared" si="153"/>
        <v>0.17263389751315117</v>
      </c>
      <c r="E2408" s="8">
        <f t="shared" si="154"/>
        <v>343.14285714285717</v>
      </c>
    </row>
    <row r="2409" spans="1:5" ht="18.5" x14ac:dyDescent="0.45">
      <c r="A2409" s="3">
        <v>2403</v>
      </c>
      <c r="B2409" s="9">
        <f t="shared" si="152"/>
        <v>0.9999750165819995</v>
      </c>
      <c r="C2409" s="3">
        <f t="shared" si="151"/>
        <v>4441489.0336506087</v>
      </c>
      <c r="D2409" s="3">
        <f t="shared" si="153"/>
        <v>0.17230839747935534</v>
      </c>
      <c r="E2409" s="8">
        <f t="shared" si="154"/>
        <v>343.28571428571428</v>
      </c>
    </row>
    <row r="2410" spans="1:5" ht="18.5" x14ac:dyDescent="0.45">
      <c r="A2410" s="3">
        <v>2404</v>
      </c>
      <c r="B2410" s="9">
        <f t="shared" si="152"/>
        <v>0.99997505530309638</v>
      </c>
      <c r="C2410" s="3">
        <f t="shared" si="151"/>
        <v>4441489.2056342326</v>
      </c>
      <c r="D2410" s="3">
        <f t="shared" si="153"/>
        <v>0.1719836238771677</v>
      </c>
      <c r="E2410" s="8">
        <f t="shared" si="154"/>
        <v>343.42857142857144</v>
      </c>
    </row>
    <row r="2411" spans="1:5" ht="18.5" x14ac:dyDescent="0.45">
      <c r="A2411" s="3">
        <v>2405</v>
      </c>
      <c r="B2411" s="9">
        <f t="shared" si="152"/>
        <v>0.99997509395123541</v>
      </c>
      <c r="C2411" s="3">
        <f t="shared" si="151"/>
        <v>4441489.3772938075</v>
      </c>
      <c r="D2411" s="3">
        <f t="shared" si="153"/>
        <v>0.17165957484394312</v>
      </c>
      <c r="E2411" s="8">
        <f t="shared" si="154"/>
        <v>343.57142857142856</v>
      </c>
    </row>
    <row r="2412" spans="1:5" ht="18.5" x14ac:dyDescent="0.45">
      <c r="A2412" s="3">
        <v>2406</v>
      </c>
      <c r="B2412" s="9">
        <f t="shared" si="152"/>
        <v>0.99997513252657932</v>
      </c>
      <c r="C2412" s="3">
        <f t="shared" si="151"/>
        <v>4441489.548630055</v>
      </c>
      <c r="D2412" s="3">
        <f t="shared" si="153"/>
        <v>0.17133624758571386</v>
      </c>
      <c r="E2412" s="8">
        <f t="shared" si="154"/>
        <v>343.71428571428572</v>
      </c>
    </row>
    <row r="2413" spans="1:5" ht="18.5" x14ac:dyDescent="0.45">
      <c r="A2413" s="3">
        <v>2407</v>
      </c>
      <c r="B2413" s="9">
        <f t="shared" si="152"/>
        <v>0.99997517102929023</v>
      </c>
      <c r="C2413" s="3">
        <f t="shared" si="151"/>
        <v>4441489.7196436953</v>
      </c>
      <c r="D2413" s="3">
        <f t="shared" si="153"/>
        <v>0.17101364023983479</v>
      </c>
      <c r="E2413" s="8">
        <f t="shared" si="154"/>
        <v>343.85714285714283</v>
      </c>
    </row>
    <row r="2414" spans="1:5" ht="18.5" x14ac:dyDescent="0.45">
      <c r="A2414" s="3">
        <v>2408</v>
      </c>
      <c r="B2414" s="9">
        <f t="shared" si="152"/>
        <v>0.99997520945953011</v>
      </c>
      <c r="C2414" s="3">
        <f t="shared" si="151"/>
        <v>4441489.890335449</v>
      </c>
      <c r="D2414" s="3">
        <f t="shared" si="153"/>
        <v>0.17069175373762846</v>
      </c>
      <c r="E2414" s="8">
        <f t="shared" si="154"/>
        <v>344</v>
      </c>
    </row>
    <row r="2415" spans="1:5" ht="18.5" x14ac:dyDescent="0.45">
      <c r="A2415" s="3">
        <v>2409</v>
      </c>
      <c r="B2415" s="9">
        <f t="shared" si="152"/>
        <v>0.99997524781746028</v>
      </c>
      <c r="C2415" s="3">
        <f t="shared" si="151"/>
        <v>4441490.0607060315</v>
      </c>
      <c r="D2415" s="3">
        <f t="shared" si="153"/>
        <v>0.17037058249115944</v>
      </c>
      <c r="E2415" s="8">
        <f t="shared" si="154"/>
        <v>344.14285714285717</v>
      </c>
    </row>
    <row r="2416" spans="1:5" ht="18.5" x14ac:dyDescent="0.45">
      <c r="A2416" s="3">
        <v>2410</v>
      </c>
      <c r="B2416" s="9">
        <f t="shared" si="152"/>
        <v>0.99997528610324171</v>
      </c>
      <c r="C2416" s="3">
        <f t="shared" si="151"/>
        <v>4441490.230756158</v>
      </c>
      <c r="D2416" s="3">
        <f t="shared" si="153"/>
        <v>0.17005012650042772</v>
      </c>
      <c r="E2416" s="8">
        <f t="shared" si="154"/>
        <v>344.28571428571428</v>
      </c>
    </row>
    <row r="2417" spans="1:5" ht="18.5" x14ac:dyDescent="0.45">
      <c r="A2417" s="3">
        <v>2411</v>
      </c>
      <c r="B2417" s="9">
        <f t="shared" si="152"/>
        <v>0.99997532431703495</v>
      </c>
      <c r="C2417" s="3">
        <f t="shared" si="151"/>
        <v>4441490.4004865428</v>
      </c>
      <c r="D2417" s="3">
        <f t="shared" si="153"/>
        <v>0.16973038483411074</v>
      </c>
      <c r="E2417" s="8">
        <f t="shared" si="154"/>
        <v>344.42857142857144</v>
      </c>
    </row>
    <row r="2418" spans="1:5" ht="18.5" x14ac:dyDescent="0.45">
      <c r="A2418" s="3">
        <v>2412</v>
      </c>
      <c r="B2418" s="9">
        <f t="shared" si="152"/>
        <v>0.99997536245900021</v>
      </c>
      <c r="C2418" s="3">
        <f t="shared" si="151"/>
        <v>4441490.5698978957</v>
      </c>
      <c r="D2418" s="3">
        <f t="shared" si="153"/>
        <v>0.16941135283559561</v>
      </c>
      <c r="E2418" s="8">
        <f t="shared" si="154"/>
        <v>344.57142857142856</v>
      </c>
    </row>
    <row r="2419" spans="1:5" ht="18.5" x14ac:dyDescent="0.45">
      <c r="A2419" s="3">
        <v>2413</v>
      </c>
      <c r="B2419" s="9">
        <f t="shared" si="152"/>
        <v>0.99997540052929712</v>
      </c>
      <c r="C2419" s="3">
        <f t="shared" si="151"/>
        <v>4441490.7389909262</v>
      </c>
      <c r="D2419" s="3">
        <f t="shared" si="153"/>
        <v>0.16909303050488234</v>
      </c>
      <c r="E2419" s="8">
        <f t="shared" si="154"/>
        <v>344.71428571428572</v>
      </c>
    </row>
    <row r="2420" spans="1:5" ht="18.5" x14ac:dyDescent="0.45">
      <c r="A2420" s="3">
        <v>2414</v>
      </c>
      <c r="B2420" s="9">
        <f t="shared" si="152"/>
        <v>0.99997543852808513</v>
      </c>
      <c r="C2420" s="3">
        <f t="shared" si="151"/>
        <v>4441490.9077663431</v>
      </c>
      <c r="D2420" s="3">
        <f t="shared" si="153"/>
        <v>0.16877541691064835</v>
      </c>
      <c r="E2420" s="8">
        <f t="shared" si="154"/>
        <v>344.85714285714283</v>
      </c>
    </row>
    <row r="2421" spans="1:5" ht="18.5" x14ac:dyDescent="0.45">
      <c r="A2421" s="3">
        <v>2415</v>
      </c>
      <c r="B2421" s="9">
        <f t="shared" si="152"/>
        <v>0.99997547645552309</v>
      </c>
      <c r="C2421" s="3">
        <f t="shared" si="151"/>
        <v>4441491.0762248514</v>
      </c>
      <c r="D2421" s="3">
        <f t="shared" si="153"/>
        <v>0.16845850832760334</v>
      </c>
      <c r="E2421" s="8">
        <f t="shared" si="154"/>
        <v>345</v>
      </c>
    </row>
    <row r="2422" spans="1:5" ht="18.5" x14ac:dyDescent="0.45">
      <c r="A2422" s="3">
        <v>2416</v>
      </c>
      <c r="B2422" s="9">
        <f t="shared" si="152"/>
        <v>0.99997551431176956</v>
      </c>
      <c r="C2422" s="3">
        <f t="shared" si="151"/>
        <v>4441491.2443671552</v>
      </c>
      <c r="D2422" s="3">
        <f t="shared" si="153"/>
        <v>0.16814230382442474</v>
      </c>
      <c r="E2422" s="8">
        <f t="shared" si="154"/>
        <v>345.14285714285717</v>
      </c>
    </row>
    <row r="2423" spans="1:5" ht="18.5" x14ac:dyDescent="0.45">
      <c r="A2423" s="3">
        <v>2417</v>
      </c>
      <c r="B2423" s="9">
        <f t="shared" si="152"/>
        <v>0.99997555209698263</v>
      </c>
      <c r="C2423" s="3">
        <f t="shared" si="151"/>
        <v>4441491.4121939577</v>
      </c>
      <c r="D2423" s="3">
        <f t="shared" si="153"/>
        <v>0.16782680246978998</v>
      </c>
      <c r="E2423" s="8">
        <f t="shared" si="154"/>
        <v>345.28571428571428</v>
      </c>
    </row>
    <row r="2424" spans="1:5" ht="18.5" x14ac:dyDescent="0.45">
      <c r="A2424" s="3">
        <v>2418</v>
      </c>
      <c r="B2424" s="9">
        <f t="shared" si="152"/>
        <v>0.99997558981131984</v>
      </c>
      <c r="C2424" s="3">
        <f t="shared" si="151"/>
        <v>4441491.5797059583</v>
      </c>
      <c r="D2424" s="3">
        <f t="shared" si="153"/>
        <v>0.16751200053840876</v>
      </c>
      <c r="E2424" s="8">
        <f t="shared" si="154"/>
        <v>345.42857142857144</v>
      </c>
    </row>
    <row r="2425" spans="1:5" ht="18.5" x14ac:dyDescent="0.45">
      <c r="A2425" s="3">
        <v>2419</v>
      </c>
      <c r="B2425" s="9">
        <f t="shared" si="152"/>
        <v>0.99997562745493873</v>
      </c>
      <c r="C2425" s="3">
        <f t="shared" si="151"/>
        <v>4441491.7469038563</v>
      </c>
      <c r="D2425" s="3">
        <f t="shared" si="153"/>
        <v>0.16719789803028107</v>
      </c>
      <c r="E2425" s="8">
        <f t="shared" si="154"/>
        <v>345.57142857142856</v>
      </c>
    </row>
    <row r="2426" spans="1:5" ht="18.5" x14ac:dyDescent="0.45">
      <c r="A2426" s="3">
        <v>2420</v>
      </c>
      <c r="B2426" s="9">
        <f t="shared" si="152"/>
        <v>0.99997566502799595</v>
      </c>
      <c r="C2426" s="3">
        <f t="shared" si="151"/>
        <v>4441491.9137883466</v>
      </c>
      <c r="D2426" s="3">
        <f t="shared" si="153"/>
        <v>0.16688449028879404</v>
      </c>
      <c r="E2426" s="8">
        <f t="shared" si="154"/>
        <v>345.71428571428572</v>
      </c>
    </row>
    <row r="2427" spans="1:5" ht="18.5" x14ac:dyDescent="0.45">
      <c r="A2427" s="3">
        <v>2421</v>
      </c>
      <c r="B2427" s="9">
        <f t="shared" si="152"/>
        <v>0.99997570253064816</v>
      </c>
      <c r="C2427" s="3">
        <f t="shared" si="151"/>
        <v>4441492.0803601267</v>
      </c>
      <c r="D2427" s="3">
        <f t="shared" si="153"/>
        <v>0.1665717801079154</v>
      </c>
      <c r="E2427" s="8">
        <f t="shared" si="154"/>
        <v>345.85714285714283</v>
      </c>
    </row>
    <row r="2428" spans="1:5" ht="18.5" x14ac:dyDescent="0.45">
      <c r="A2428" s="3">
        <v>2422</v>
      </c>
      <c r="B2428" s="9">
        <f t="shared" si="152"/>
        <v>0.99997573996305134</v>
      </c>
      <c r="C2428" s="3">
        <f t="shared" si="151"/>
        <v>4441492.2466198886</v>
      </c>
      <c r="D2428" s="3">
        <f t="shared" si="153"/>
        <v>0.1662597618997097</v>
      </c>
      <c r="E2428" s="8">
        <f t="shared" si="154"/>
        <v>346</v>
      </c>
    </row>
    <row r="2429" spans="1:5" ht="18.5" x14ac:dyDescent="0.45">
      <c r="A2429" s="3">
        <v>2423</v>
      </c>
      <c r="B2429" s="9">
        <f t="shared" si="152"/>
        <v>0.99997577732536114</v>
      </c>
      <c r="C2429" s="3">
        <f t="shared" si="151"/>
        <v>4441492.4125683242</v>
      </c>
      <c r="D2429" s="3">
        <f t="shared" si="153"/>
        <v>0.16594843566417694</v>
      </c>
      <c r="E2429" s="8">
        <f t="shared" si="154"/>
        <v>346.14285714285717</v>
      </c>
    </row>
    <row r="2430" spans="1:5" ht="18.5" x14ac:dyDescent="0.45">
      <c r="A2430" s="3">
        <v>2424</v>
      </c>
      <c r="B2430" s="9">
        <f t="shared" si="152"/>
        <v>0.99997581461773288</v>
      </c>
      <c r="C2430" s="3">
        <f t="shared" si="151"/>
        <v>4441492.5782061219</v>
      </c>
      <c r="D2430" s="3">
        <f t="shared" si="153"/>
        <v>0.16563779767602682</v>
      </c>
      <c r="E2430" s="8">
        <f t="shared" si="154"/>
        <v>346.28571428571428</v>
      </c>
    </row>
    <row r="2431" spans="1:5" ht="18.5" x14ac:dyDescent="0.45">
      <c r="A2431" s="3">
        <v>2425</v>
      </c>
      <c r="B2431" s="9">
        <f t="shared" si="152"/>
        <v>0.99997585184032145</v>
      </c>
      <c r="C2431" s="3">
        <f t="shared" si="151"/>
        <v>4441492.7435339717</v>
      </c>
      <c r="D2431" s="3">
        <f t="shared" si="153"/>
        <v>0.16532784979790449</v>
      </c>
      <c r="E2431" s="8">
        <f t="shared" si="154"/>
        <v>346.42857142857144</v>
      </c>
    </row>
    <row r="2432" spans="1:5" ht="18.5" x14ac:dyDescent="0.45">
      <c r="A2432" s="3">
        <v>2426</v>
      </c>
      <c r="B2432" s="9">
        <f t="shared" si="152"/>
        <v>0.99997588899328138</v>
      </c>
      <c r="C2432" s="3">
        <f t="shared" si="151"/>
        <v>4441492.9085525582</v>
      </c>
      <c r="D2432" s="3">
        <f t="shared" si="153"/>
        <v>0.1650185864418745</v>
      </c>
      <c r="E2432" s="8">
        <f t="shared" si="154"/>
        <v>346.57142857142856</v>
      </c>
    </row>
    <row r="2433" spans="1:5" ht="18.5" x14ac:dyDescent="0.45">
      <c r="A2433" s="3">
        <v>2427</v>
      </c>
      <c r="B2433" s="9">
        <f t="shared" si="152"/>
        <v>0.99997592607676655</v>
      </c>
      <c r="C2433" s="3">
        <f t="shared" si="151"/>
        <v>4441493.0732625667</v>
      </c>
      <c r="D2433" s="3">
        <f t="shared" si="153"/>
        <v>0.16471000853925943</v>
      </c>
      <c r="E2433" s="8">
        <f t="shared" si="154"/>
        <v>346.71428571428572</v>
      </c>
    </row>
    <row r="2434" spans="1:5" ht="18.5" x14ac:dyDescent="0.45">
      <c r="A2434" s="3">
        <v>2428</v>
      </c>
      <c r="B2434" s="9">
        <f t="shared" si="152"/>
        <v>0.99997596309093095</v>
      </c>
      <c r="C2434" s="3">
        <f t="shared" si="151"/>
        <v>4441493.2376646791</v>
      </c>
      <c r="D2434" s="3">
        <f t="shared" si="153"/>
        <v>0.16440211236476898</v>
      </c>
      <c r="E2434" s="8">
        <f t="shared" si="154"/>
        <v>346.85714285714283</v>
      </c>
    </row>
    <row r="2435" spans="1:5" ht="18.5" x14ac:dyDescent="0.45">
      <c r="A2435" s="3">
        <v>2429</v>
      </c>
      <c r="B2435" s="9">
        <f t="shared" si="152"/>
        <v>0.99997600003592768</v>
      </c>
      <c r="C2435" s="3">
        <f t="shared" si="151"/>
        <v>4441493.4017595761</v>
      </c>
      <c r="D2435" s="3">
        <f t="shared" si="153"/>
        <v>0.16409489698708057</v>
      </c>
      <c r="E2435" s="8">
        <f t="shared" si="154"/>
        <v>347</v>
      </c>
    </row>
    <row r="2436" spans="1:5" ht="18.5" x14ac:dyDescent="0.45">
      <c r="A2436" s="3">
        <v>2430</v>
      </c>
      <c r="B2436" s="9">
        <f t="shared" si="152"/>
        <v>0.99997603691190962</v>
      </c>
      <c r="C2436" s="3">
        <f t="shared" si="151"/>
        <v>4441493.5655479375</v>
      </c>
      <c r="D2436" s="3">
        <f t="shared" si="153"/>
        <v>0.16378836147487164</v>
      </c>
      <c r="E2436" s="8">
        <f t="shared" si="154"/>
        <v>347.14285714285717</v>
      </c>
    </row>
    <row r="2437" spans="1:5" ht="18.5" x14ac:dyDescent="0.45">
      <c r="A2437" s="3">
        <v>2431</v>
      </c>
      <c r="B2437" s="9">
        <f t="shared" si="152"/>
        <v>0.99997607371902941</v>
      </c>
      <c r="C2437" s="3">
        <f t="shared" si="151"/>
        <v>4441493.7290304415</v>
      </c>
      <c r="D2437" s="3">
        <f t="shared" si="153"/>
        <v>0.16348250396549702</v>
      </c>
      <c r="E2437" s="8">
        <f t="shared" si="154"/>
        <v>347.28571428571428</v>
      </c>
    </row>
    <row r="2438" spans="1:5" ht="18.5" x14ac:dyDescent="0.45">
      <c r="A2438" s="3">
        <v>2432</v>
      </c>
      <c r="B2438" s="9">
        <f t="shared" si="152"/>
        <v>0.99997611045743906</v>
      </c>
      <c r="C2438" s="3">
        <f t="shared" si="151"/>
        <v>4441493.8922077613</v>
      </c>
      <c r="D2438" s="3">
        <f t="shared" si="153"/>
        <v>0.16317731980234385</v>
      </c>
      <c r="E2438" s="8">
        <f t="shared" si="154"/>
        <v>347.42857142857144</v>
      </c>
    </row>
    <row r="2439" spans="1:5" ht="18.5" x14ac:dyDescent="0.45">
      <c r="A2439" s="3">
        <v>2433</v>
      </c>
      <c r="B2439" s="9">
        <f t="shared" si="152"/>
        <v>0.99997614712729033</v>
      </c>
      <c r="C2439" s="3">
        <f t="shared" si="151"/>
        <v>4441494.0550805731</v>
      </c>
      <c r="D2439" s="3">
        <f t="shared" si="153"/>
        <v>0.16287281177937984</v>
      </c>
      <c r="E2439" s="8">
        <f t="shared" si="154"/>
        <v>347.57142857142856</v>
      </c>
    </row>
    <row r="2440" spans="1:5" ht="18.5" x14ac:dyDescent="0.45">
      <c r="A2440" s="3">
        <v>2434</v>
      </c>
      <c r="B2440" s="9">
        <f t="shared" si="152"/>
        <v>0.99997618372873465</v>
      </c>
      <c r="C2440" s="3">
        <f t="shared" ref="C2440:C2503" si="155">$E$3*B2440</f>
        <v>4441494.2176495474</v>
      </c>
      <c r="D2440" s="3">
        <f t="shared" si="153"/>
        <v>0.16256897430866957</v>
      </c>
      <c r="E2440" s="8">
        <f t="shared" si="154"/>
        <v>347.71428571428572</v>
      </c>
    </row>
    <row r="2441" spans="1:5" ht="18.5" x14ac:dyDescent="0.45">
      <c r="A2441" s="3">
        <v>2435</v>
      </c>
      <c r="B2441" s="9">
        <f t="shared" si="152"/>
        <v>0.9999762202619229</v>
      </c>
      <c r="C2441" s="3">
        <f t="shared" si="155"/>
        <v>4441494.3799153566</v>
      </c>
      <c r="D2441" s="3">
        <f t="shared" si="153"/>
        <v>0.16226580925285816</v>
      </c>
      <c r="E2441" s="8">
        <f t="shared" si="154"/>
        <v>347.85714285714283</v>
      </c>
    </row>
    <row r="2442" spans="1:5" ht="18.5" x14ac:dyDescent="0.45">
      <c r="A2442" s="3">
        <v>2436</v>
      </c>
      <c r="B2442" s="9">
        <f t="shared" si="152"/>
        <v>0.99997625672700563</v>
      </c>
      <c r="C2442" s="3">
        <f t="shared" si="155"/>
        <v>4441494.5418786686</v>
      </c>
      <c r="D2442" s="3">
        <f t="shared" si="153"/>
        <v>0.16196331195533276</v>
      </c>
      <c r="E2442" s="8">
        <f t="shared" si="154"/>
        <v>348</v>
      </c>
    </row>
    <row r="2443" spans="1:5" ht="18.5" x14ac:dyDescent="0.45">
      <c r="A2443" s="3">
        <v>2437</v>
      </c>
      <c r="B2443" s="9">
        <f t="shared" si="152"/>
        <v>0.99997629312413305</v>
      </c>
      <c r="C2443" s="3">
        <f t="shared" si="155"/>
        <v>4441494.7035401491</v>
      </c>
      <c r="D2443" s="3">
        <f t="shared" si="153"/>
        <v>0.1616614805534482</v>
      </c>
      <c r="E2443" s="8">
        <f t="shared" si="154"/>
        <v>348.14285714285717</v>
      </c>
    </row>
    <row r="2444" spans="1:5" ht="18.5" x14ac:dyDescent="0.45">
      <c r="A2444" s="3">
        <v>2438</v>
      </c>
      <c r="B2444" s="9">
        <f t="shared" si="152"/>
        <v>0.99997632945345494</v>
      </c>
      <c r="C2444" s="3">
        <f t="shared" si="155"/>
        <v>4441494.8649004651</v>
      </c>
      <c r="D2444" s="3">
        <f t="shared" si="153"/>
        <v>0.16136031597852707</v>
      </c>
      <c r="E2444" s="8">
        <f t="shared" si="154"/>
        <v>348.28571428571428</v>
      </c>
    </row>
    <row r="2445" spans="1:5" ht="18.5" x14ac:dyDescent="0.45">
      <c r="A2445" s="3">
        <v>2439</v>
      </c>
      <c r="B2445" s="9">
        <f t="shared" si="152"/>
        <v>0.99997636571512072</v>
      </c>
      <c r="C2445" s="3">
        <f t="shared" si="155"/>
        <v>4441495.0259602806</v>
      </c>
      <c r="D2445" s="3">
        <f t="shared" si="153"/>
        <v>0.16105981543660164</v>
      </c>
      <c r="E2445" s="8">
        <f t="shared" si="154"/>
        <v>348.42857142857144</v>
      </c>
    </row>
    <row r="2446" spans="1:5" ht="18.5" x14ac:dyDescent="0.45">
      <c r="A2446" s="3">
        <v>2440</v>
      </c>
      <c r="B2446" s="9">
        <f t="shared" si="152"/>
        <v>0.9999764019092795</v>
      </c>
      <c r="C2446" s="3">
        <f t="shared" si="155"/>
        <v>4441495.1867202558</v>
      </c>
      <c r="D2446" s="3">
        <f t="shared" si="153"/>
        <v>0.16075997520238161</v>
      </c>
      <c r="E2446" s="8">
        <f t="shared" si="154"/>
        <v>348.57142857142856</v>
      </c>
    </row>
    <row r="2447" spans="1:5" ht="18.5" x14ac:dyDescent="0.45">
      <c r="A2447" s="3">
        <v>2441</v>
      </c>
      <c r="B2447" s="9">
        <f t="shared" si="152"/>
        <v>0.99997643803607994</v>
      </c>
      <c r="C2447" s="3">
        <f t="shared" si="155"/>
        <v>4441495.3471810529</v>
      </c>
      <c r="D2447" s="3">
        <f t="shared" si="153"/>
        <v>0.16046079713851213</v>
      </c>
      <c r="E2447" s="8">
        <f t="shared" si="154"/>
        <v>348.71428571428572</v>
      </c>
    </row>
    <row r="2448" spans="1:5" ht="18.5" x14ac:dyDescent="0.45">
      <c r="A2448" s="3">
        <v>2442</v>
      </c>
      <c r="B2448" s="9">
        <f t="shared" si="152"/>
        <v>0.99997647409567025</v>
      </c>
      <c r="C2448" s="3">
        <f t="shared" si="155"/>
        <v>4441495.5073433286</v>
      </c>
      <c r="D2448" s="3">
        <f t="shared" si="153"/>
        <v>0.16016227565705776</v>
      </c>
      <c r="E2448" s="8">
        <f t="shared" si="154"/>
        <v>348.85714285714283</v>
      </c>
    </row>
    <row r="2449" spans="1:5" ht="18.5" x14ac:dyDescent="0.45">
      <c r="A2449" s="3">
        <v>2443</v>
      </c>
      <c r="B2449" s="9">
        <f t="shared" si="152"/>
        <v>0.99997651008819832</v>
      </c>
      <c r="C2449" s="3">
        <f t="shared" si="155"/>
        <v>4441495.6672077421</v>
      </c>
      <c r="D2449" s="3">
        <f t="shared" si="153"/>
        <v>0.15986441355198622</v>
      </c>
      <c r="E2449" s="8">
        <f t="shared" si="154"/>
        <v>349</v>
      </c>
    </row>
    <row r="2450" spans="1:5" ht="18.5" x14ac:dyDescent="0.45">
      <c r="A2450" s="3">
        <v>2444</v>
      </c>
      <c r="B2450" s="9">
        <f t="shared" si="152"/>
        <v>0.9999765460138117</v>
      </c>
      <c r="C2450" s="3">
        <f t="shared" si="155"/>
        <v>4441495.8267749464</v>
      </c>
      <c r="D2450" s="3">
        <f t="shared" si="153"/>
        <v>0.15956720430403948</v>
      </c>
      <c r="E2450" s="8">
        <f t="shared" si="154"/>
        <v>349.14285714285717</v>
      </c>
    </row>
    <row r="2451" spans="1:5" ht="18.5" x14ac:dyDescent="0.45">
      <c r="A2451" s="3">
        <v>2445</v>
      </c>
      <c r="B2451" s="9">
        <f t="shared" si="152"/>
        <v>0.99997658187265759</v>
      </c>
      <c r="C2451" s="3">
        <f t="shared" si="155"/>
        <v>4441495.9860455962</v>
      </c>
      <c r="D2451" s="3">
        <f t="shared" si="153"/>
        <v>0.15927064977586269</v>
      </c>
      <c r="E2451" s="8">
        <f t="shared" si="154"/>
        <v>349.28571428571428</v>
      </c>
    </row>
    <row r="2452" spans="1:5" ht="18.5" x14ac:dyDescent="0.45">
      <c r="A2452" s="3">
        <v>2446</v>
      </c>
      <c r="B2452" s="9">
        <f t="shared" si="152"/>
        <v>0.99997661766488266</v>
      </c>
      <c r="C2452" s="3">
        <f t="shared" si="155"/>
        <v>4441496.1450203424</v>
      </c>
      <c r="D2452" s="3">
        <f t="shared" si="153"/>
        <v>0.15897474624216557</v>
      </c>
      <c r="E2452" s="8">
        <f t="shared" si="154"/>
        <v>349.42857142857144</v>
      </c>
    </row>
    <row r="2453" spans="1:5" ht="18.5" x14ac:dyDescent="0.45">
      <c r="A2453" s="3">
        <v>2447</v>
      </c>
      <c r="B2453" s="9">
        <f t="shared" si="152"/>
        <v>0.99997665339063346</v>
      </c>
      <c r="C2453" s="3">
        <f t="shared" si="155"/>
        <v>4441496.303699838</v>
      </c>
      <c r="D2453" s="3">
        <f t="shared" si="153"/>
        <v>0.15867949556559324</v>
      </c>
      <c r="E2453" s="8">
        <f t="shared" si="154"/>
        <v>349.57142857142856</v>
      </c>
    </row>
    <row r="2454" spans="1:5" ht="18.5" x14ac:dyDescent="0.45">
      <c r="A2454" s="3">
        <v>2448</v>
      </c>
      <c r="B2454" s="9">
        <f t="shared" si="152"/>
        <v>0.99997668905005588</v>
      </c>
      <c r="C2454" s="3">
        <f t="shared" si="155"/>
        <v>4441496.4620847283</v>
      </c>
      <c r="D2454" s="3">
        <f t="shared" si="153"/>
        <v>0.15838489029556513</v>
      </c>
      <c r="E2454" s="8">
        <f t="shared" si="154"/>
        <v>349.71428571428572</v>
      </c>
    </row>
    <row r="2455" spans="1:5" ht="18.5" x14ac:dyDescent="0.45">
      <c r="A2455" s="3">
        <v>2449</v>
      </c>
      <c r="B2455" s="9">
        <f t="shared" ref="B2455:B2518" si="156">LOGNORMDIST(A2455,$A$3,$B$3)</f>
        <v>0.99997672464329557</v>
      </c>
      <c r="C2455" s="3">
        <f t="shared" si="155"/>
        <v>4441496.6201756615</v>
      </c>
      <c r="D2455" s="3">
        <f t="shared" ref="D2455:D2518" si="157">C2455-C2454</f>
        <v>0.15809093322604895</v>
      </c>
      <c r="E2455" s="8">
        <f t="shared" ref="E2455:E2518" si="158">A2455/7</f>
        <v>349.85714285714283</v>
      </c>
    </row>
    <row r="2456" spans="1:5" ht="18.5" x14ac:dyDescent="0.45">
      <c r="A2456" s="3">
        <v>2450</v>
      </c>
      <c r="B2456" s="9">
        <f t="shared" si="156"/>
        <v>0.99997676017049786</v>
      </c>
      <c r="C2456" s="3">
        <f t="shared" si="155"/>
        <v>4441496.7779732831</v>
      </c>
      <c r="D2456" s="3">
        <f t="shared" si="157"/>
        <v>0.15779762156307697</v>
      </c>
      <c r="E2456" s="8">
        <f t="shared" si="158"/>
        <v>350</v>
      </c>
    </row>
    <row r="2457" spans="1:5" ht="18.5" x14ac:dyDescent="0.45">
      <c r="A2457" s="3">
        <v>2451</v>
      </c>
      <c r="B2457" s="9">
        <f t="shared" si="156"/>
        <v>0.99997679563180775</v>
      </c>
      <c r="C2457" s="3">
        <f t="shared" si="155"/>
        <v>4441496.9354782375</v>
      </c>
      <c r="D2457" s="3">
        <f t="shared" si="157"/>
        <v>0.15750495437532663</v>
      </c>
      <c r="E2457" s="8">
        <f t="shared" si="158"/>
        <v>350.14285714285717</v>
      </c>
    </row>
    <row r="2458" spans="1:5" ht="18.5" x14ac:dyDescent="0.45">
      <c r="A2458" s="3">
        <v>2452</v>
      </c>
      <c r="B2458" s="9">
        <f t="shared" si="156"/>
        <v>0.99997683102736956</v>
      </c>
      <c r="C2458" s="3">
        <f t="shared" si="155"/>
        <v>4441497.0926911645</v>
      </c>
      <c r="D2458" s="3">
        <f t="shared" si="157"/>
        <v>0.15721292700618505</v>
      </c>
      <c r="E2458" s="8">
        <f t="shared" si="158"/>
        <v>350.28571428571428</v>
      </c>
    </row>
    <row r="2459" spans="1:5" ht="18.5" x14ac:dyDescent="0.45">
      <c r="A2459" s="3">
        <v>2453</v>
      </c>
      <c r="B2459" s="9">
        <f t="shared" si="156"/>
        <v>0.99997686635732774</v>
      </c>
      <c r="C2459" s="3">
        <f t="shared" si="155"/>
        <v>4441497.2496127067</v>
      </c>
      <c r="D2459" s="3">
        <f t="shared" si="157"/>
        <v>0.15692154224961996</v>
      </c>
      <c r="E2459" s="8">
        <f t="shared" si="158"/>
        <v>350.42857142857144</v>
      </c>
    </row>
    <row r="2460" spans="1:5" ht="18.5" x14ac:dyDescent="0.45">
      <c r="A2460" s="3">
        <v>2454</v>
      </c>
      <c r="B2460" s="9">
        <f t="shared" si="156"/>
        <v>0.99997690162182595</v>
      </c>
      <c r="C2460" s="3">
        <f t="shared" si="155"/>
        <v>4441497.4062435022</v>
      </c>
      <c r="D2460" s="3">
        <f t="shared" si="157"/>
        <v>0.15663079544901848</v>
      </c>
      <c r="E2460" s="8">
        <f t="shared" si="158"/>
        <v>350.57142857142856</v>
      </c>
    </row>
    <row r="2461" spans="1:5" ht="18.5" x14ac:dyDescent="0.45">
      <c r="A2461" s="3">
        <v>2455</v>
      </c>
      <c r="B2461" s="9">
        <f t="shared" si="156"/>
        <v>0.99997693682100774</v>
      </c>
      <c r="C2461" s="3">
        <f t="shared" si="155"/>
        <v>4441497.5625841878</v>
      </c>
      <c r="D2461" s="3">
        <f t="shared" si="157"/>
        <v>0.15634068567305803</v>
      </c>
      <c r="E2461" s="8">
        <f t="shared" si="158"/>
        <v>350.71428571428572</v>
      </c>
    </row>
    <row r="2462" spans="1:5" ht="18.5" x14ac:dyDescent="0.45">
      <c r="A2462" s="3">
        <v>2456</v>
      </c>
      <c r="B2462" s="9">
        <f t="shared" si="156"/>
        <v>0.999976971955016</v>
      </c>
      <c r="C2462" s="3">
        <f t="shared" si="155"/>
        <v>4441497.7186353989</v>
      </c>
      <c r="D2462" s="3">
        <f t="shared" si="157"/>
        <v>0.15605121105909348</v>
      </c>
      <c r="E2462" s="8">
        <f t="shared" si="158"/>
        <v>350.85714285714283</v>
      </c>
    </row>
    <row r="2463" spans="1:5" ht="18.5" x14ac:dyDescent="0.45">
      <c r="A2463" s="3">
        <v>2457</v>
      </c>
      <c r="B2463" s="9">
        <f t="shared" si="156"/>
        <v>0.99997700702399361</v>
      </c>
      <c r="C2463" s="3">
        <f t="shared" si="155"/>
        <v>4441497.8743977696</v>
      </c>
      <c r="D2463" s="3">
        <f t="shared" si="157"/>
        <v>0.15576237067580223</v>
      </c>
      <c r="E2463" s="8">
        <f t="shared" si="158"/>
        <v>351</v>
      </c>
    </row>
    <row r="2464" spans="1:5" ht="18.5" x14ac:dyDescent="0.45">
      <c r="A2464" s="3">
        <v>2458</v>
      </c>
      <c r="B2464" s="9">
        <f t="shared" si="156"/>
        <v>0.99997704202808291</v>
      </c>
      <c r="C2464" s="3">
        <f t="shared" si="155"/>
        <v>4441498.0298719332</v>
      </c>
      <c r="D2464" s="3">
        <f t="shared" si="157"/>
        <v>0.15547416359186172</v>
      </c>
      <c r="E2464" s="8">
        <f t="shared" si="158"/>
        <v>351.14285714285717</v>
      </c>
    </row>
    <row r="2465" spans="1:5" ht="18.5" x14ac:dyDescent="0.45">
      <c r="A2465" s="3">
        <v>2459</v>
      </c>
      <c r="B2465" s="9">
        <f t="shared" si="156"/>
        <v>0.99997707696742588</v>
      </c>
      <c r="C2465" s="3">
        <f t="shared" si="155"/>
        <v>4441498.1850585192</v>
      </c>
      <c r="D2465" s="3">
        <f t="shared" si="157"/>
        <v>0.15518658608198166</v>
      </c>
      <c r="E2465" s="8">
        <f t="shared" si="158"/>
        <v>351.28571428571428</v>
      </c>
    </row>
    <row r="2466" spans="1:5" ht="18.5" x14ac:dyDescent="0.45">
      <c r="A2466" s="3">
        <v>2460</v>
      </c>
      <c r="B2466" s="9">
        <f t="shared" si="156"/>
        <v>0.9999771118421642</v>
      </c>
      <c r="C2466" s="3">
        <f t="shared" si="155"/>
        <v>4441498.3399581565</v>
      </c>
      <c r="D2466" s="3">
        <f t="shared" si="157"/>
        <v>0.15489963721483946</v>
      </c>
      <c r="E2466" s="8">
        <f t="shared" si="158"/>
        <v>351.42857142857144</v>
      </c>
    </row>
    <row r="2467" spans="1:5" ht="18.5" x14ac:dyDescent="0.45">
      <c r="A2467" s="3">
        <v>2461</v>
      </c>
      <c r="B2467" s="9">
        <f t="shared" si="156"/>
        <v>0.99997714665243909</v>
      </c>
      <c r="C2467" s="3">
        <f t="shared" si="155"/>
        <v>4441498.4945714734</v>
      </c>
      <c r="D2467" s="3">
        <f t="shared" si="157"/>
        <v>0.15461331699043512</v>
      </c>
      <c r="E2467" s="8">
        <f t="shared" si="158"/>
        <v>351.57142857142856</v>
      </c>
    </row>
    <row r="2468" spans="1:5" ht="18.5" x14ac:dyDescent="0.45">
      <c r="A2468" s="3">
        <v>2462</v>
      </c>
      <c r="B2468" s="9">
        <f t="shared" si="156"/>
        <v>0.99997718139839142</v>
      </c>
      <c r="C2468" s="3">
        <f t="shared" si="155"/>
        <v>4441498.6488990951</v>
      </c>
      <c r="D2468" s="3">
        <f t="shared" si="157"/>
        <v>0.15432762168347836</v>
      </c>
      <c r="E2468" s="8">
        <f t="shared" si="158"/>
        <v>351.71428571428572</v>
      </c>
    </row>
    <row r="2469" spans="1:5" ht="18.5" x14ac:dyDescent="0.45">
      <c r="A2469" s="3">
        <v>2463</v>
      </c>
      <c r="B2469" s="9">
        <f t="shared" si="156"/>
        <v>0.99997721608016188</v>
      </c>
      <c r="C2469" s="3">
        <f t="shared" si="155"/>
        <v>4441498.8029416474</v>
      </c>
      <c r="D2469" s="3">
        <f t="shared" si="157"/>
        <v>0.15404255222529173</v>
      </c>
      <c r="E2469" s="8">
        <f t="shared" si="158"/>
        <v>351.85714285714283</v>
      </c>
    </row>
    <row r="2470" spans="1:5" ht="18.5" x14ac:dyDescent="0.45">
      <c r="A2470" s="3">
        <v>2464</v>
      </c>
      <c r="B2470" s="9">
        <f t="shared" si="156"/>
        <v>0.99997725069789056</v>
      </c>
      <c r="C2470" s="3">
        <f t="shared" si="155"/>
        <v>4441498.9566997504</v>
      </c>
      <c r="D2470" s="3">
        <f t="shared" si="157"/>
        <v>0.1537581030279398</v>
      </c>
      <c r="E2470" s="8">
        <f t="shared" si="158"/>
        <v>352</v>
      </c>
    </row>
    <row r="2471" spans="1:5" ht="18.5" x14ac:dyDescent="0.45">
      <c r="A2471" s="3">
        <v>2465</v>
      </c>
      <c r="B2471" s="9">
        <f t="shared" si="156"/>
        <v>0.99997728525171747</v>
      </c>
      <c r="C2471" s="3">
        <f t="shared" si="155"/>
        <v>4441499.1101740282</v>
      </c>
      <c r="D2471" s="3">
        <f t="shared" si="157"/>
        <v>0.15347427781671286</v>
      </c>
      <c r="E2471" s="8">
        <f t="shared" si="158"/>
        <v>352.14285714285717</v>
      </c>
    </row>
    <row r="2472" spans="1:5" ht="18.5" x14ac:dyDescent="0.45">
      <c r="A2472" s="3">
        <v>2466</v>
      </c>
      <c r="B2472" s="9">
        <f t="shared" si="156"/>
        <v>0.99997731974178206</v>
      </c>
      <c r="C2472" s="3">
        <f t="shared" si="155"/>
        <v>4441499.2633650992</v>
      </c>
      <c r="D2472" s="3">
        <f t="shared" si="157"/>
        <v>0.15319107100367546</v>
      </c>
      <c r="E2472" s="8">
        <f t="shared" si="158"/>
        <v>352.28571428571428</v>
      </c>
    </row>
    <row r="2473" spans="1:5" ht="18.5" x14ac:dyDescent="0.45">
      <c r="A2473" s="3">
        <v>2467</v>
      </c>
      <c r="B2473" s="9">
        <f t="shared" si="156"/>
        <v>0.99997735416822331</v>
      </c>
      <c r="C2473" s="3">
        <f t="shared" si="155"/>
        <v>4441499.4162735809</v>
      </c>
      <c r="D2473" s="3">
        <f t="shared" si="157"/>
        <v>0.15290848165750504</v>
      </c>
      <c r="E2473" s="8">
        <f t="shared" si="158"/>
        <v>352.42857142857144</v>
      </c>
    </row>
    <row r="2474" spans="1:5" ht="18.5" x14ac:dyDescent="0.45">
      <c r="A2474" s="3">
        <v>2468</v>
      </c>
      <c r="B2474" s="9">
        <f t="shared" si="156"/>
        <v>0.99997738853118023</v>
      </c>
      <c r="C2474" s="3">
        <f t="shared" si="155"/>
        <v>4441499.5689000897</v>
      </c>
      <c r="D2474" s="3">
        <f t="shared" si="157"/>
        <v>0.15262650884687901</v>
      </c>
      <c r="E2474" s="8">
        <f t="shared" si="158"/>
        <v>352.57142857142856</v>
      </c>
    </row>
    <row r="2475" spans="1:5" ht="18.5" x14ac:dyDescent="0.45">
      <c r="A2475" s="3">
        <v>2469</v>
      </c>
      <c r="B2475" s="9">
        <f t="shared" si="156"/>
        <v>0.99997742283079116</v>
      </c>
      <c r="C2475" s="3">
        <f t="shared" si="155"/>
        <v>4441499.7212452423</v>
      </c>
      <c r="D2475" s="3">
        <f t="shared" si="157"/>
        <v>0.15234515257179737</v>
      </c>
      <c r="E2475" s="8">
        <f t="shared" si="158"/>
        <v>352.71428571428572</v>
      </c>
    </row>
    <row r="2476" spans="1:5" ht="18.5" x14ac:dyDescent="0.45">
      <c r="A2476" s="3">
        <v>2470</v>
      </c>
      <c r="B2476" s="9">
        <f t="shared" si="156"/>
        <v>0.99997745706719421</v>
      </c>
      <c r="C2476" s="3">
        <f t="shared" si="155"/>
        <v>4441499.8733096495</v>
      </c>
      <c r="D2476" s="3">
        <f t="shared" si="157"/>
        <v>0.15206440724432468</v>
      </c>
      <c r="E2476" s="8">
        <f t="shared" si="158"/>
        <v>352.85714285714283</v>
      </c>
    </row>
    <row r="2477" spans="1:5" ht="18.5" x14ac:dyDescent="0.45">
      <c r="A2477" s="3">
        <v>2471</v>
      </c>
      <c r="B2477" s="9">
        <f t="shared" si="156"/>
        <v>0.99997749124052715</v>
      </c>
      <c r="C2477" s="3">
        <f t="shared" si="155"/>
        <v>4441500.0250939252</v>
      </c>
      <c r="D2477" s="3">
        <f t="shared" si="157"/>
        <v>0.15178427565842867</v>
      </c>
      <c r="E2477" s="8">
        <f t="shared" si="158"/>
        <v>353</v>
      </c>
    </row>
    <row r="2478" spans="1:5" ht="18.5" x14ac:dyDescent="0.45">
      <c r="A2478" s="3">
        <v>2472</v>
      </c>
      <c r="B2478" s="9">
        <f t="shared" si="156"/>
        <v>0.99997752535092732</v>
      </c>
      <c r="C2478" s="3">
        <f t="shared" si="155"/>
        <v>4441500.1765986783</v>
      </c>
      <c r="D2478" s="3">
        <f t="shared" si="157"/>
        <v>0.15150475315749645</v>
      </c>
      <c r="E2478" s="8">
        <f t="shared" si="158"/>
        <v>353.14285714285717</v>
      </c>
    </row>
    <row r="2479" spans="1:5" ht="18.5" x14ac:dyDescent="0.45">
      <c r="A2479" s="3">
        <v>2473</v>
      </c>
      <c r="B2479" s="9">
        <f t="shared" si="156"/>
        <v>0.99997755939853183</v>
      </c>
      <c r="C2479" s="3">
        <f t="shared" si="155"/>
        <v>4441500.327824519</v>
      </c>
      <c r="D2479" s="3">
        <f t="shared" si="157"/>
        <v>0.15122584067285061</v>
      </c>
      <c r="E2479" s="8">
        <f t="shared" si="158"/>
        <v>353.28571428571428</v>
      </c>
    </row>
    <row r="2480" spans="1:5" ht="18.5" x14ac:dyDescent="0.45">
      <c r="A2480" s="3">
        <v>2474</v>
      </c>
      <c r="B2480" s="9">
        <f t="shared" si="156"/>
        <v>0.99997759338347736</v>
      </c>
      <c r="C2480" s="3">
        <f t="shared" si="155"/>
        <v>4441500.4787720535</v>
      </c>
      <c r="D2480" s="3">
        <f t="shared" si="157"/>
        <v>0.15094753447920084</v>
      </c>
      <c r="E2480" s="8">
        <f t="shared" si="158"/>
        <v>353.42857142857144</v>
      </c>
    </row>
    <row r="2481" spans="1:5" ht="18.5" x14ac:dyDescent="0.45">
      <c r="A2481" s="3">
        <v>2475</v>
      </c>
      <c r="B2481" s="9">
        <f t="shared" si="156"/>
        <v>0.99997762730590034</v>
      </c>
      <c r="C2481" s="3">
        <f t="shared" si="155"/>
        <v>4441500.6294418871</v>
      </c>
      <c r="D2481" s="3">
        <f t="shared" si="157"/>
        <v>0.15066983364522457</v>
      </c>
      <c r="E2481" s="8">
        <f t="shared" si="158"/>
        <v>353.57142857142856</v>
      </c>
    </row>
    <row r="2482" spans="1:5" ht="18.5" x14ac:dyDescent="0.45">
      <c r="A2482" s="3">
        <v>2476</v>
      </c>
      <c r="B2482" s="9">
        <f t="shared" si="156"/>
        <v>0.99997766116593667</v>
      </c>
      <c r="C2482" s="3">
        <f t="shared" si="155"/>
        <v>4441500.7798346244</v>
      </c>
      <c r="D2482" s="3">
        <f t="shared" si="157"/>
        <v>0.15039273723959923</v>
      </c>
      <c r="E2482" s="8">
        <f t="shared" si="158"/>
        <v>353.71428571428572</v>
      </c>
    </row>
    <row r="2483" spans="1:5" ht="18.5" x14ac:dyDescent="0.45">
      <c r="A2483" s="3">
        <v>2477</v>
      </c>
      <c r="B2483" s="9">
        <f t="shared" si="156"/>
        <v>0.99997769496372213</v>
      </c>
      <c r="C2483" s="3">
        <f t="shared" si="155"/>
        <v>4441500.9299508678</v>
      </c>
      <c r="D2483" s="3">
        <f t="shared" si="157"/>
        <v>0.15011624339967966</v>
      </c>
      <c r="E2483" s="8">
        <f t="shared" si="158"/>
        <v>353.85714285714283</v>
      </c>
    </row>
    <row r="2484" spans="1:5" ht="18.5" x14ac:dyDescent="0.45">
      <c r="A2484" s="3">
        <v>2478</v>
      </c>
      <c r="B2484" s="9">
        <f t="shared" si="156"/>
        <v>0.99997772869939205</v>
      </c>
      <c r="C2484" s="3">
        <f t="shared" si="155"/>
        <v>4441501.0797912199</v>
      </c>
      <c r="D2484" s="3">
        <f t="shared" si="157"/>
        <v>0.14984035212546587</v>
      </c>
      <c r="E2484" s="8">
        <f t="shared" si="158"/>
        <v>354</v>
      </c>
    </row>
    <row r="2485" spans="1:5" ht="18.5" x14ac:dyDescent="0.45">
      <c r="A2485" s="3">
        <v>2479</v>
      </c>
      <c r="B2485" s="9">
        <f t="shared" si="156"/>
        <v>0.99997776237308134</v>
      </c>
      <c r="C2485" s="3">
        <f t="shared" si="155"/>
        <v>4441501.2293562777</v>
      </c>
      <c r="D2485" s="3">
        <f t="shared" si="157"/>
        <v>0.14956505782902241</v>
      </c>
      <c r="E2485" s="8">
        <f t="shared" si="158"/>
        <v>354.14285714285717</v>
      </c>
    </row>
    <row r="2486" spans="1:5" ht="18.5" x14ac:dyDescent="0.45">
      <c r="A2486" s="3">
        <v>2480</v>
      </c>
      <c r="B2486" s="9">
        <f t="shared" si="156"/>
        <v>0.99997779598492476</v>
      </c>
      <c r="C2486" s="3">
        <f t="shared" si="155"/>
        <v>4441501.378646642</v>
      </c>
      <c r="D2486" s="3">
        <f t="shared" si="157"/>
        <v>0.14929036423563957</v>
      </c>
      <c r="E2486" s="8">
        <f t="shared" si="158"/>
        <v>354.28571428571428</v>
      </c>
    </row>
    <row r="2487" spans="1:5" ht="18.5" x14ac:dyDescent="0.45">
      <c r="A2487" s="3">
        <v>2481</v>
      </c>
      <c r="B2487" s="9">
        <f t="shared" si="156"/>
        <v>0.99997782953505654</v>
      </c>
      <c r="C2487" s="3">
        <f t="shared" si="155"/>
        <v>4441501.5276629068</v>
      </c>
      <c r="D2487" s="3">
        <f t="shared" si="157"/>
        <v>0.14901626482605934</v>
      </c>
      <c r="E2487" s="8">
        <f t="shared" si="158"/>
        <v>354.42857142857144</v>
      </c>
    </row>
    <row r="2488" spans="1:5" ht="18.5" x14ac:dyDescent="0.45">
      <c r="A2488" s="3">
        <v>2482</v>
      </c>
      <c r="B2488" s="9">
        <f t="shared" si="156"/>
        <v>0.99997786302361069</v>
      </c>
      <c r="C2488" s="3">
        <f t="shared" si="155"/>
        <v>4441501.6764056692</v>
      </c>
      <c r="D2488" s="3">
        <f t="shared" si="157"/>
        <v>0.14874276239424944</v>
      </c>
      <c r="E2488" s="8">
        <f t="shared" si="158"/>
        <v>354.57142857142856</v>
      </c>
    </row>
    <row r="2489" spans="1:5" ht="18.5" x14ac:dyDescent="0.45">
      <c r="A2489" s="3">
        <v>2483</v>
      </c>
      <c r="B2489" s="9">
        <f t="shared" si="156"/>
        <v>0.99997789645072088</v>
      </c>
      <c r="C2489" s="3">
        <f t="shared" si="155"/>
        <v>4441501.8248755215</v>
      </c>
      <c r="D2489" s="3">
        <f t="shared" si="157"/>
        <v>0.14846985228359699</v>
      </c>
      <c r="E2489" s="8">
        <f t="shared" si="158"/>
        <v>354.71428571428572</v>
      </c>
    </row>
    <row r="2490" spans="1:5" ht="18.5" x14ac:dyDescent="0.45">
      <c r="A2490" s="3">
        <v>2484</v>
      </c>
      <c r="B2490" s="9">
        <f t="shared" si="156"/>
        <v>0.99997792981652034</v>
      </c>
      <c r="C2490" s="3">
        <f t="shared" si="155"/>
        <v>4441501.9730730569</v>
      </c>
      <c r="D2490" s="3">
        <f t="shared" si="157"/>
        <v>0.14819753542542458</v>
      </c>
      <c r="E2490" s="8">
        <f t="shared" si="158"/>
        <v>354.85714285714283</v>
      </c>
    </row>
    <row r="2491" spans="1:5" ht="18.5" x14ac:dyDescent="0.45">
      <c r="A2491" s="3">
        <v>2485</v>
      </c>
      <c r="B2491" s="9">
        <f t="shared" si="156"/>
        <v>0.99997796312114207</v>
      </c>
      <c r="C2491" s="3">
        <f t="shared" si="155"/>
        <v>4441502.120998865</v>
      </c>
      <c r="D2491" s="3">
        <f t="shared" si="157"/>
        <v>0.14792580809444189</v>
      </c>
      <c r="E2491" s="8">
        <f t="shared" si="158"/>
        <v>355</v>
      </c>
    </row>
    <row r="2492" spans="1:5" ht="18.5" x14ac:dyDescent="0.45">
      <c r="A2492" s="3">
        <v>2486</v>
      </c>
      <c r="B2492" s="9">
        <f t="shared" si="156"/>
        <v>0.99997799636471885</v>
      </c>
      <c r="C2492" s="3">
        <f t="shared" si="155"/>
        <v>4441502.2686535353</v>
      </c>
      <c r="D2492" s="3">
        <f t="shared" si="157"/>
        <v>0.14765467029064894</v>
      </c>
      <c r="E2492" s="8">
        <f t="shared" si="158"/>
        <v>355.14285714285717</v>
      </c>
    </row>
    <row r="2493" spans="1:5" ht="18.5" x14ac:dyDescent="0.45">
      <c r="A2493" s="3">
        <v>2487</v>
      </c>
      <c r="B2493" s="9">
        <f t="shared" si="156"/>
        <v>0.99997802954738269</v>
      </c>
      <c r="C2493" s="3">
        <f t="shared" si="155"/>
        <v>4441502.4160376545</v>
      </c>
      <c r="D2493" s="3">
        <f t="shared" si="157"/>
        <v>0.14738411922007799</v>
      </c>
      <c r="E2493" s="8">
        <f t="shared" si="158"/>
        <v>355.28571428571428</v>
      </c>
    </row>
    <row r="2494" spans="1:5" ht="18.5" x14ac:dyDescent="0.45">
      <c r="A2494" s="3">
        <v>2488</v>
      </c>
      <c r="B2494" s="9">
        <f t="shared" si="156"/>
        <v>0.99997806266926581</v>
      </c>
      <c r="C2494" s="3">
        <f t="shared" si="155"/>
        <v>4441502.5631518112</v>
      </c>
      <c r="D2494" s="3">
        <f t="shared" si="157"/>
        <v>0.1471141567453742</v>
      </c>
      <c r="E2494" s="8">
        <f t="shared" si="158"/>
        <v>355.42857142857144</v>
      </c>
    </row>
    <row r="2495" spans="1:5" ht="18.5" x14ac:dyDescent="0.45">
      <c r="A2495" s="3">
        <v>2489</v>
      </c>
      <c r="B2495" s="9">
        <f t="shared" si="156"/>
        <v>0.99997809573049978</v>
      </c>
      <c r="C2495" s="3">
        <f t="shared" si="155"/>
        <v>4441502.7099965876</v>
      </c>
      <c r="D2495" s="3">
        <f t="shared" si="157"/>
        <v>0.14684477634727955</v>
      </c>
      <c r="E2495" s="8">
        <f t="shared" si="158"/>
        <v>355.57142857142856</v>
      </c>
    </row>
    <row r="2496" spans="1:5" ht="18.5" x14ac:dyDescent="0.45">
      <c r="A2496" s="3">
        <v>2490</v>
      </c>
      <c r="B2496" s="9">
        <f t="shared" si="156"/>
        <v>0.99997812873121583</v>
      </c>
      <c r="C2496" s="3">
        <f t="shared" si="155"/>
        <v>4441502.8565725684</v>
      </c>
      <c r="D2496" s="3">
        <f t="shared" si="157"/>
        <v>0.14657598081976175</v>
      </c>
      <c r="E2496" s="8">
        <f t="shared" si="158"/>
        <v>355.71428571428572</v>
      </c>
    </row>
    <row r="2497" spans="1:5" ht="18.5" x14ac:dyDescent="0.45">
      <c r="A2497" s="3">
        <v>2491</v>
      </c>
      <c r="B2497" s="9">
        <f t="shared" si="156"/>
        <v>0.99997816167154507</v>
      </c>
      <c r="C2497" s="3">
        <f t="shared" si="155"/>
        <v>4441503.0028803349</v>
      </c>
      <c r="D2497" s="3">
        <f t="shared" si="157"/>
        <v>0.14630776643753052</v>
      </c>
      <c r="E2497" s="8">
        <f t="shared" si="158"/>
        <v>355.85714285714283</v>
      </c>
    </row>
    <row r="2498" spans="1:5" ht="18.5" x14ac:dyDescent="0.45">
      <c r="A2498" s="3">
        <v>2492</v>
      </c>
      <c r="B2498" s="9">
        <f t="shared" si="156"/>
        <v>0.99997819455161807</v>
      </c>
      <c r="C2498" s="3">
        <f t="shared" si="155"/>
        <v>4441503.1489204671</v>
      </c>
      <c r="D2498" s="3">
        <f t="shared" si="157"/>
        <v>0.14604013226926327</v>
      </c>
      <c r="E2498" s="8">
        <f t="shared" si="158"/>
        <v>356</v>
      </c>
    </row>
    <row r="2499" spans="1:5" ht="18.5" x14ac:dyDescent="0.45">
      <c r="A2499" s="3">
        <v>2493</v>
      </c>
      <c r="B2499" s="9">
        <f t="shared" si="156"/>
        <v>0.99997822737156516</v>
      </c>
      <c r="C2499" s="3">
        <f t="shared" si="155"/>
        <v>4441503.2946935436</v>
      </c>
      <c r="D2499" s="3">
        <f t="shared" si="157"/>
        <v>0.14577307645231485</v>
      </c>
      <c r="E2499" s="8">
        <f t="shared" si="158"/>
        <v>356.14285714285717</v>
      </c>
    </row>
    <row r="2500" spans="1:5" ht="18.5" x14ac:dyDescent="0.45">
      <c r="A2500" s="3">
        <v>2494</v>
      </c>
      <c r="B2500" s="9">
        <f t="shared" si="156"/>
        <v>0.99997826013151636</v>
      </c>
      <c r="C2500" s="3">
        <f t="shared" si="155"/>
        <v>4441503.4402001435</v>
      </c>
      <c r="D2500" s="3">
        <f t="shared" si="157"/>
        <v>0.14550659991800785</v>
      </c>
      <c r="E2500" s="8">
        <f t="shared" si="158"/>
        <v>356.28571428571428</v>
      </c>
    </row>
    <row r="2501" spans="1:5" ht="18.5" x14ac:dyDescent="0.45">
      <c r="A2501" s="3">
        <v>2495</v>
      </c>
      <c r="B2501" s="9">
        <f t="shared" si="156"/>
        <v>0.99997829283160133</v>
      </c>
      <c r="C2501" s="3">
        <f t="shared" si="155"/>
        <v>4441503.5854408406</v>
      </c>
      <c r="D2501" s="3">
        <f t="shared" si="157"/>
        <v>0.14524069707840681</v>
      </c>
      <c r="E2501" s="8">
        <f t="shared" si="158"/>
        <v>356.42857142857144</v>
      </c>
    </row>
    <row r="2502" spans="1:5" ht="18.5" x14ac:dyDescent="0.45">
      <c r="A2502" s="3">
        <v>2496</v>
      </c>
      <c r="B2502" s="9">
        <f t="shared" si="156"/>
        <v>0.99997832547194943</v>
      </c>
      <c r="C2502" s="3">
        <f t="shared" si="155"/>
        <v>4441503.7304162104</v>
      </c>
      <c r="D2502" s="3">
        <f t="shared" si="157"/>
        <v>0.14497536979615688</v>
      </c>
      <c r="E2502" s="8">
        <f t="shared" si="158"/>
        <v>356.57142857142856</v>
      </c>
    </row>
    <row r="2503" spans="1:5" ht="18.5" x14ac:dyDescent="0.45">
      <c r="A2503" s="3">
        <v>2497</v>
      </c>
      <c r="B2503" s="9">
        <f t="shared" si="156"/>
        <v>0.99997835805268964</v>
      </c>
      <c r="C2503" s="3">
        <f t="shared" si="155"/>
        <v>4441503.8751268266</v>
      </c>
      <c r="D2503" s="3">
        <f t="shared" si="157"/>
        <v>0.14471061620861292</v>
      </c>
      <c r="E2503" s="8">
        <f t="shared" si="158"/>
        <v>356.71428571428572</v>
      </c>
    </row>
    <row r="2504" spans="1:5" ht="18.5" x14ac:dyDescent="0.45">
      <c r="A2504" s="3">
        <v>2498</v>
      </c>
      <c r="B2504" s="9">
        <f t="shared" si="156"/>
        <v>0.99997839057395077</v>
      </c>
      <c r="C2504" s="3">
        <f t="shared" ref="C2504:C2567" si="159">$E$3*B2504</f>
        <v>4441504.0195732601</v>
      </c>
      <c r="D2504" s="3">
        <f t="shared" si="157"/>
        <v>0.14444643352180719</v>
      </c>
      <c r="E2504" s="8">
        <f t="shared" si="158"/>
        <v>356.85714285714283</v>
      </c>
    </row>
    <row r="2505" spans="1:5" ht="18.5" x14ac:dyDescent="0.45">
      <c r="A2505" s="3">
        <v>2499</v>
      </c>
      <c r="B2505" s="9">
        <f t="shared" si="156"/>
        <v>0.99997842303586115</v>
      </c>
      <c r="C2505" s="3">
        <f t="shared" si="159"/>
        <v>4441504.1637560809</v>
      </c>
      <c r="D2505" s="3">
        <f t="shared" si="157"/>
        <v>0.14418282080441713</v>
      </c>
      <c r="E2505" s="8">
        <f t="shared" si="158"/>
        <v>357</v>
      </c>
    </row>
    <row r="2506" spans="1:5" ht="18.5" x14ac:dyDescent="0.45">
      <c r="A2506" s="3">
        <v>2500</v>
      </c>
      <c r="B2506" s="9">
        <f t="shared" si="156"/>
        <v>0.99997845543854869</v>
      </c>
      <c r="C2506" s="3">
        <f t="shared" si="159"/>
        <v>4441504.307675858</v>
      </c>
      <c r="D2506" s="3">
        <f t="shared" si="157"/>
        <v>0.14391977712512016</v>
      </c>
      <c r="E2506" s="8">
        <f t="shared" si="158"/>
        <v>357.14285714285717</v>
      </c>
    </row>
    <row r="2507" spans="1:5" ht="18.5" x14ac:dyDescent="0.45">
      <c r="A2507" s="3">
        <v>2501</v>
      </c>
      <c r="B2507" s="9">
        <f t="shared" si="156"/>
        <v>0.99997848778214138</v>
      </c>
      <c r="C2507" s="3">
        <f t="shared" si="159"/>
        <v>4441504.4513331596</v>
      </c>
      <c r="D2507" s="3">
        <f t="shared" si="157"/>
        <v>0.14365730155259371</v>
      </c>
      <c r="E2507" s="8">
        <f t="shared" si="158"/>
        <v>357.28571428571428</v>
      </c>
    </row>
    <row r="2508" spans="1:5" ht="18.5" x14ac:dyDescent="0.45">
      <c r="A2508" s="3">
        <v>2502</v>
      </c>
      <c r="B2508" s="9">
        <f t="shared" si="156"/>
        <v>0.99997852006676646</v>
      </c>
      <c r="C2508" s="3">
        <f t="shared" si="159"/>
        <v>4441504.5947285499</v>
      </c>
      <c r="D2508" s="3">
        <f t="shared" si="157"/>
        <v>0.14339539036154747</v>
      </c>
      <c r="E2508" s="8">
        <f t="shared" si="158"/>
        <v>357.42857142857144</v>
      </c>
    </row>
    <row r="2509" spans="1:5" ht="18.5" x14ac:dyDescent="0.45">
      <c r="A2509" s="3">
        <v>2503</v>
      </c>
      <c r="B2509" s="9">
        <f t="shared" si="156"/>
        <v>0.99997855229255117</v>
      </c>
      <c r="C2509" s="3">
        <f t="shared" si="159"/>
        <v>4441504.7378625954</v>
      </c>
      <c r="D2509" s="3">
        <f t="shared" si="157"/>
        <v>0.1431340454146266</v>
      </c>
      <c r="E2509" s="8">
        <f t="shared" si="158"/>
        <v>357.57142857142856</v>
      </c>
    </row>
    <row r="2510" spans="1:5" ht="18.5" x14ac:dyDescent="0.45">
      <c r="A2510" s="3">
        <v>2504</v>
      </c>
      <c r="B2510" s="9">
        <f t="shared" si="156"/>
        <v>0.99997858445962218</v>
      </c>
      <c r="C2510" s="3">
        <f t="shared" si="159"/>
        <v>4441504.8807358574</v>
      </c>
      <c r="D2510" s="3">
        <f t="shared" si="157"/>
        <v>0.14287326205521822</v>
      </c>
      <c r="E2510" s="8">
        <f t="shared" si="158"/>
        <v>357.71428571428572</v>
      </c>
    </row>
    <row r="2511" spans="1:5" ht="18.5" x14ac:dyDescent="0.45">
      <c r="A2511" s="3">
        <v>2505</v>
      </c>
      <c r="B2511" s="9">
        <f t="shared" si="156"/>
        <v>0.99997861656810605</v>
      </c>
      <c r="C2511" s="3">
        <f t="shared" si="159"/>
        <v>4441505.0233488996</v>
      </c>
      <c r="D2511" s="3">
        <f t="shared" si="157"/>
        <v>0.14261304214596748</v>
      </c>
      <c r="E2511" s="8">
        <f t="shared" si="158"/>
        <v>357.85714285714283</v>
      </c>
    </row>
    <row r="2512" spans="1:5" ht="18.5" x14ac:dyDescent="0.45">
      <c r="A2512" s="3">
        <v>2506</v>
      </c>
      <c r="B2512" s="9">
        <f t="shared" si="156"/>
        <v>0.9999786486181288</v>
      </c>
      <c r="C2512" s="3">
        <f t="shared" si="159"/>
        <v>4441505.1657022806</v>
      </c>
      <c r="D2512" s="3">
        <f t="shared" si="157"/>
        <v>0.14235338103026152</v>
      </c>
      <c r="E2512" s="8">
        <f t="shared" si="158"/>
        <v>358</v>
      </c>
    </row>
    <row r="2513" spans="1:5" ht="18.5" x14ac:dyDescent="0.45">
      <c r="A2513" s="3">
        <v>2507</v>
      </c>
      <c r="B2513" s="9">
        <f t="shared" si="156"/>
        <v>0.99997868060981643</v>
      </c>
      <c r="C2513" s="3">
        <f t="shared" si="159"/>
        <v>4441505.3077965602</v>
      </c>
      <c r="D2513" s="3">
        <f t="shared" si="157"/>
        <v>0.14209427963942289</v>
      </c>
      <c r="E2513" s="8">
        <f t="shared" si="158"/>
        <v>358.14285714285717</v>
      </c>
    </row>
    <row r="2514" spans="1:5" ht="18.5" x14ac:dyDescent="0.45">
      <c r="A2514" s="3">
        <v>2508</v>
      </c>
      <c r="B2514" s="9">
        <f t="shared" si="156"/>
        <v>0.99997871254329429</v>
      </c>
      <c r="C2514" s="3">
        <f t="shared" si="159"/>
        <v>4441505.4496322963</v>
      </c>
      <c r="D2514" s="3">
        <f t="shared" si="157"/>
        <v>0.14183573611080647</v>
      </c>
      <c r="E2514" s="8">
        <f t="shared" si="158"/>
        <v>358.28571428571428</v>
      </c>
    </row>
    <row r="2515" spans="1:5" ht="18.5" x14ac:dyDescent="0.45">
      <c r="A2515" s="3">
        <v>2509</v>
      </c>
      <c r="B2515" s="9">
        <f t="shared" si="156"/>
        <v>0.99997874441868773</v>
      </c>
      <c r="C2515" s="3">
        <f t="shared" si="159"/>
        <v>4441505.5912100431</v>
      </c>
      <c r="D2515" s="3">
        <f t="shared" si="157"/>
        <v>0.14157774671912193</v>
      </c>
      <c r="E2515" s="8">
        <f t="shared" si="158"/>
        <v>358.42857142857144</v>
      </c>
    </row>
    <row r="2516" spans="1:5" ht="18.5" x14ac:dyDescent="0.45">
      <c r="A2516" s="3">
        <v>2510</v>
      </c>
      <c r="B2516" s="9">
        <f t="shared" si="156"/>
        <v>0.99997877623612164</v>
      </c>
      <c r="C2516" s="3">
        <f t="shared" si="159"/>
        <v>4441505.7325303582</v>
      </c>
      <c r="D2516" s="3">
        <f t="shared" si="157"/>
        <v>0.1413203151896596</v>
      </c>
      <c r="E2516" s="8">
        <f t="shared" si="158"/>
        <v>358.57142857142856</v>
      </c>
    </row>
    <row r="2517" spans="1:5" ht="18.5" x14ac:dyDescent="0.45">
      <c r="A2517" s="3">
        <v>2511</v>
      </c>
      <c r="B2517" s="9">
        <f t="shared" si="156"/>
        <v>0.99997880799572059</v>
      </c>
      <c r="C2517" s="3">
        <f t="shared" si="159"/>
        <v>4441505.8735937923</v>
      </c>
      <c r="D2517" s="3">
        <f t="shared" si="157"/>
        <v>0.14106343407183886</v>
      </c>
      <c r="E2517" s="8">
        <f t="shared" si="158"/>
        <v>358.71428571428572</v>
      </c>
    </row>
    <row r="2518" spans="1:5" ht="18.5" x14ac:dyDescent="0.45">
      <c r="A2518" s="3">
        <v>2512</v>
      </c>
      <c r="B2518" s="9">
        <f t="shared" si="156"/>
        <v>0.99997883969760892</v>
      </c>
      <c r="C2518" s="3">
        <f t="shared" si="159"/>
        <v>4441506.0144008994</v>
      </c>
      <c r="D2518" s="3">
        <f t="shared" si="157"/>
        <v>0.14080710709095001</v>
      </c>
      <c r="E2518" s="8">
        <f t="shared" si="158"/>
        <v>358.85714285714283</v>
      </c>
    </row>
    <row r="2519" spans="1:5" ht="18.5" x14ac:dyDescent="0.45">
      <c r="A2519" s="3">
        <v>2513</v>
      </c>
      <c r="B2519" s="9">
        <f t="shared" ref="B2519:B2582" si="160">LOGNORMDIST(A2519,$A$3,$B$3)</f>
        <v>0.99997887134191044</v>
      </c>
      <c r="C2519" s="3">
        <f t="shared" si="159"/>
        <v>4441506.154952229</v>
      </c>
      <c r="D2519" s="3">
        <f t="shared" ref="D2519:D2582" si="161">C2519-C2518</f>
        <v>0.14055132959038019</v>
      </c>
      <c r="E2519" s="8">
        <f t="shared" ref="E2519:E2582" si="162">A2519/7</f>
        <v>359</v>
      </c>
    </row>
    <row r="2520" spans="1:5" ht="18.5" x14ac:dyDescent="0.45">
      <c r="A2520" s="3">
        <v>2514</v>
      </c>
      <c r="B2520" s="9">
        <f t="shared" si="160"/>
        <v>0.99997890292874891</v>
      </c>
      <c r="C2520" s="3">
        <f t="shared" si="159"/>
        <v>4441506.2952483315</v>
      </c>
      <c r="D2520" s="3">
        <f t="shared" si="161"/>
        <v>0.14029610250145197</v>
      </c>
      <c r="E2520" s="8">
        <f t="shared" si="162"/>
        <v>359.14285714285717</v>
      </c>
    </row>
    <row r="2521" spans="1:5" ht="18.5" x14ac:dyDescent="0.45">
      <c r="A2521" s="3">
        <v>2515</v>
      </c>
      <c r="B2521" s="9">
        <f t="shared" si="160"/>
        <v>0.9999789344582477</v>
      </c>
      <c r="C2521" s="3">
        <f t="shared" si="159"/>
        <v>4441506.4352897527</v>
      </c>
      <c r="D2521" s="3">
        <f t="shared" si="161"/>
        <v>0.14004142116755247</v>
      </c>
      <c r="E2521" s="8">
        <f t="shared" si="162"/>
        <v>359.28571428571428</v>
      </c>
    </row>
    <row r="2522" spans="1:5" ht="18.5" x14ac:dyDescent="0.45">
      <c r="A2522" s="3">
        <v>2516</v>
      </c>
      <c r="B2522" s="9">
        <f t="shared" si="160"/>
        <v>0.99997896593052982</v>
      </c>
      <c r="C2522" s="3">
        <f t="shared" si="159"/>
        <v>4441506.5750770411</v>
      </c>
      <c r="D2522" s="3">
        <f t="shared" si="161"/>
        <v>0.13978728838264942</v>
      </c>
      <c r="E2522" s="8">
        <f t="shared" si="162"/>
        <v>359.42857142857144</v>
      </c>
    </row>
    <row r="2523" spans="1:5" ht="18.5" x14ac:dyDescent="0.45">
      <c r="A2523" s="3">
        <v>2517</v>
      </c>
      <c r="B2523" s="9">
        <f t="shared" si="160"/>
        <v>0.99997899734571805</v>
      </c>
      <c r="C2523" s="3">
        <f t="shared" si="159"/>
        <v>4441506.7146107415</v>
      </c>
      <c r="D2523" s="3">
        <f t="shared" si="161"/>
        <v>0.13953370042145252</v>
      </c>
      <c r="E2523" s="8">
        <f t="shared" si="162"/>
        <v>359.57142857142856</v>
      </c>
    </row>
    <row r="2524" spans="1:5" ht="18.5" x14ac:dyDescent="0.45">
      <c r="A2524" s="3">
        <v>2518</v>
      </c>
      <c r="B2524" s="9">
        <f t="shared" si="160"/>
        <v>0.99997902870393485</v>
      </c>
      <c r="C2524" s="3">
        <f t="shared" si="159"/>
        <v>4441506.8538913969</v>
      </c>
      <c r="D2524" s="3">
        <f t="shared" si="161"/>
        <v>0.13928065542131662</v>
      </c>
      <c r="E2524" s="8">
        <f t="shared" si="162"/>
        <v>359.71428571428572</v>
      </c>
    </row>
    <row r="2525" spans="1:5" ht="18.5" x14ac:dyDescent="0.45">
      <c r="A2525" s="3">
        <v>2519</v>
      </c>
      <c r="B2525" s="9">
        <f t="shared" si="160"/>
        <v>0.99997906000530223</v>
      </c>
      <c r="C2525" s="3">
        <f t="shared" si="159"/>
        <v>4441506.9929195503</v>
      </c>
      <c r="D2525" s="3">
        <f t="shared" si="161"/>
        <v>0.13902815338224173</v>
      </c>
      <c r="E2525" s="8">
        <f t="shared" si="162"/>
        <v>359.85714285714283</v>
      </c>
    </row>
    <row r="2526" spans="1:5" ht="18.5" x14ac:dyDescent="0.45">
      <c r="A2526" s="3">
        <v>2520</v>
      </c>
      <c r="B2526" s="9">
        <f t="shared" si="160"/>
        <v>0.99997909124994222</v>
      </c>
      <c r="C2526" s="3">
        <f t="shared" si="159"/>
        <v>4441507.1316957437</v>
      </c>
      <c r="D2526" s="3">
        <f t="shared" si="161"/>
        <v>0.13877619337290525</v>
      </c>
      <c r="E2526" s="8">
        <f t="shared" si="162"/>
        <v>360</v>
      </c>
    </row>
    <row r="2527" spans="1:5" ht="18.5" x14ac:dyDescent="0.45">
      <c r="A2527" s="3">
        <v>2521</v>
      </c>
      <c r="B2527" s="9">
        <f t="shared" si="160"/>
        <v>0.99997912243797615</v>
      </c>
      <c r="C2527" s="3">
        <f t="shared" si="159"/>
        <v>4441507.2702205153</v>
      </c>
      <c r="D2527" s="3">
        <f t="shared" si="161"/>
        <v>0.13852477166801691</v>
      </c>
      <c r="E2527" s="8">
        <f t="shared" si="162"/>
        <v>360.14285714285717</v>
      </c>
    </row>
    <row r="2528" spans="1:5" ht="18.5" x14ac:dyDescent="0.45">
      <c r="A2528" s="3">
        <v>2522</v>
      </c>
      <c r="B2528" s="9">
        <f t="shared" si="160"/>
        <v>0.99997915356952527</v>
      </c>
      <c r="C2528" s="3">
        <f t="shared" si="159"/>
        <v>4441507.4084944036</v>
      </c>
      <c r="D2528" s="3">
        <f t="shared" si="161"/>
        <v>0.13827388826757669</v>
      </c>
      <c r="E2528" s="8">
        <f t="shared" si="162"/>
        <v>360.28571428571428</v>
      </c>
    </row>
    <row r="2529" spans="1:5" ht="18.5" x14ac:dyDescent="0.45">
      <c r="A2529" s="3">
        <v>2523</v>
      </c>
      <c r="B2529" s="9">
        <f t="shared" si="160"/>
        <v>0.99997918464471069</v>
      </c>
      <c r="C2529" s="3">
        <f t="shared" si="159"/>
        <v>4441507.5465179468</v>
      </c>
      <c r="D2529" s="3">
        <f t="shared" si="161"/>
        <v>0.13802354317158461</v>
      </c>
      <c r="E2529" s="8">
        <f t="shared" si="162"/>
        <v>360.42857142857144</v>
      </c>
    </row>
    <row r="2530" spans="1:5" ht="18.5" x14ac:dyDescent="0.45">
      <c r="A2530" s="3">
        <v>2524</v>
      </c>
      <c r="B2530" s="9">
        <f t="shared" si="160"/>
        <v>0.99997921566365289</v>
      </c>
      <c r="C2530" s="3">
        <f t="shared" si="159"/>
        <v>4441507.6842916803</v>
      </c>
      <c r="D2530" s="3">
        <f t="shared" si="161"/>
        <v>0.13777373358607292</v>
      </c>
      <c r="E2530" s="8">
        <f t="shared" si="162"/>
        <v>360.57142857142856</v>
      </c>
    </row>
    <row r="2531" spans="1:5" ht="18.5" x14ac:dyDescent="0.45">
      <c r="A2531" s="3">
        <v>2525</v>
      </c>
      <c r="B2531" s="9">
        <f t="shared" si="160"/>
        <v>0.9999792466264722</v>
      </c>
      <c r="C2531" s="3">
        <f t="shared" si="159"/>
        <v>4441507.8218161389</v>
      </c>
      <c r="D2531" s="3">
        <f t="shared" si="161"/>
        <v>0.13752445857971907</v>
      </c>
      <c r="E2531" s="8">
        <f t="shared" si="162"/>
        <v>360.71428571428572</v>
      </c>
    </row>
    <row r="2532" spans="1:5" ht="18.5" x14ac:dyDescent="0.45">
      <c r="A2532" s="3">
        <v>2526</v>
      </c>
      <c r="B2532" s="9">
        <f t="shared" si="160"/>
        <v>0.99997927753328864</v>
      </c>
      <c r="C2532" s="3">
        <f t="shared" si="159"/>
        <v>4441507.9590918552</v>
      </c>
      <c r="D2532" s="3">
        <f t="shared" si="161"/>
        <v>0.13727571628987789</v>
      </c>
      <c r="E2532" s="8">
        <f t="shared" si="162"/>
        <v>360.85714285714283</v>
      </c>
    </row>
    <row r="2533" spans="1:5" ht="18.5" x14ac:dyDescent="0.45">
      <c r="A2533" s="3">
        <v>2527</v>
      </c>
      <c r="B2533" s="9">
        <f t="shared" si="160"/>
        <v>0.999979308384222</v>
      </c>
      <c r="C2533" s="3">
        <f t="shared" si="159"/>
        <v>4441508.0961193601</v>
      </c>
      <c r="D2533" s="3">
        <f t="shared" si="161"/>
        <v>0.13702750485390425</v>
      </c>
      <c r="E2533" s="8">
        <f t="shared" si="162"/>
        <v>361</v>
      </c>
    </row>
    <row r="2534" spans="1:5" ht="18.5" x14ac:dyDescent="0.45">
      <c r="A2534" s="3">
        <v>2528</v>
      </c>
      <c r="B2534" s="9">
        <f t="shared" si="160"/>
        <v>0.99997933917939175</v>
      </c>
      <c r="C2534" s="3">
        <f t="shared" si="159"/>
        <v>4441508.2328991862</v>
      </c>
      <c r="D2534" s="3">
        <f t="shared" si="161"/>
        <v>0.13677982613444328</v>
      </c>
      <c r="E2534" s="8">
        <f t="shared" si="162"/>
        <v>361.14285714285717</v>
      </c>
    </row>
    <row r="2535" spans="1:5" ht="18.5" x14ac:dyDescent="0.45">
      <c r="A2535" s="3">
        <v>2529</v>
      </c>
      <c r="B2535" s="9">
        <f t="shared" si="160"/>
        <v>0.99997936991891689</v>
      </c>
      <c r="C2535" s="3">
        <f t="shared" si="159"/>
        <v>4441508.3694318617</v>
      </c>
      <c r="D2535" s="3">
        <f t="shared" si="161"/>
        <v>0.13653267547488213</v>
      </c>
      <c r="E2535" s="8">
        <f t="shared" si="162"/>
        <v>361.28571428571428</v>
      </c>
    </row>
    <row r="2536" spans="1:5" ht="18.5" x14ac:dyDescent="0.45">
      <c r="A2536" s="3">
        <v>2530</v>
      </c>
      <c r="B2536" s="9">
        <f t="shared" si="160"/>
        <v>0.99997940060291635</v>
      </c>
      <c r="C2536" s="3">
        <f t="shared" si="159"/>
        <v>4441508.5057179136</v>
      </c>
      <c r="D2536" s="3">
        <f t="shared" si="161"/>
        <v>0.1362860519438982</v>
      </c>
      <c r="E2536" s="8">
        <f t="shared" si="162"/>
        <v>361.42857142857144</v>
      </c>
    </row>
    <row r="2537" spans="1:5" ht="18.5" x14ac:dyDescent="0.45">
      <c r="A2537" s="3">
        <v>2531</v>
      </c>
      <c r="B2537" s="9">
        <f t="shared" si="160"/>
        <v>0.99997943123150879</v>
      </c>
      <c r="C2537" s="3">
        <f t="shared" si="159"/>
        <v>4441508.6417578692</v>
      </c>
      <c r="D2537" s="3">
        <f t="shared" si="161"/>
        <v>0.13603995554149151</v>
      </c>
      <c r="E2537" s="8">
        <f t="shared" si="162"/>
        <v>361.57142857142856</v>
      </c>
    </row>
    <row r="2538" spans="1:5" ht="18.5" x14ac:dyDescent="0.45">
      <c r="A2538" s="3">
        <v>2532</v>
      </c>
      <c r="B2538" s="9">
        <f t="shared" si="160"/>
        <v>0.99997946180481223</v>
      </c>
      <c r="C2538" s="3">
        <f t="shared" si="159"/>
        <v>4441508.7775522536</v>
      </c>
      <c r="D2538" s="3">
        <f t="shared" si="161"/>
        <v>0.1357943844050169</v>
      </c>
      <c r="E2538" s="8">
        <f t="shared" si="162"/>
        <v>361.71428571428572</v>
      </c>
    </row>
    <row r="2539" spans="1:5" ht="18.5" x14ac:dyDescent="0.45">
      <c r="A2539" s="3">
        <v>2533</v>
      </c>
      <c r="B2539" s="9">
        <f t="shared" si="160"/>
        <v>0.99997949232294481</v>
      </c>
      <c r="C2539" s="3">
        <f t="shared" si="159"/>
        <v>4441508.9131015921</v>
      </c>
      <c r="D2539" s="3">
        <f t="shared" si="161"/>
        <v>0.13554933853447437</v>
      </c>
      <c r="E2539" s="8">
        <f t="shared" si="162"/>
        <v>361.85714285714283</v>
      </c>
    </row>
    <row r="2540" spans="1:5" ht="18.5" x14ac:dyDescent="0.45">
      <c r="A2540" s="3">
        <v>2534</v>
      </c>
      <c r="B2540" s="9">
        <f t="shared" si="160"/>
        <v>0.9999795227860242</v>
      </c>
      <c r="C2540" s="3">
        <f t="shared" si="159"/>
        <v>4441509.0484064054</v>
      </c>
      <c r="D2540" s="3">
        <f t="shared" si="161"/>
        <v>0.13530481327325106</v>
      </c>
      <c r="E2540" s="8">
        <f t="shared" si="162"/>
        <v>362</v>
      </c>
    </row>
    <row r="2541" spans="1:5" ht="18.5" x14ac:dyDescent="0.45">
      <c r="A2541" s="3">
        <v>2535</v>
      </c>
      <c r="B2541" s="9">
        <f t="shared" si="160"/>
        <v>0.99997955319416776</v>
      </c>
      <c r="C2541" s="3">
        <f t="shared" si="159"/>
        <v>4441509.1834672159</v>
      </c>
      <c r="D2541" s="3">
        <f t="shared" si="161"/>
        <v>0.1350608104839921</v>
      </c>
      <c r="E2541" s="8">
        <f t="shared" si="162"/>
        <v>362.14285714285717</v>
      </c>
    </row>
    <row r="2542" spans="1:5" ht="18.5" x14ac:dyDescent="0.45">
      <c r="A2542" s="3">
        <v>2536</v>
      </c>
      <c r="B2542" s="9">
        <f t="shared" si="160"/>
        <v>0.9999795835474925</v>
      </c>
      <c r="C2542" s="3">
        <f t="shared" si="159"/>
        <v>4441509.3182845423</v>
      </c>
      <c r="D2542" s="3">
        <f t="shared" si="161"/>
        <v>0.1348173264414072</v>
      </c>
      <c r="E2542" s="8">
        <f t="shared" si="162"/>
        <v>362.28571428571428</v>
      </c>
    </row>
    <row r="2543" spans="1:5" ht="18.5" x14ac:dyDescent="0.45">
      <c r="A2543" s="3">
        <v>2537</v>
      </c>
      <c r="B2543" s="9">
        <f t="shared" si="160"/>
        <v>0.99997961384611533</v>
      </c>
      <c r="C2543" s="3">
        <f t="shared" si="159"/>
        <v>4441509.4528589062</v>
      </c>
      <c r="D2543" s="3">
        <f t="shared" si="161"/>
        <v>0.13457436393946409</v>
      </c>
      <c r="E2543" s="8">
        <f t="shared" si="162"/>
        <v>362.42857142857144</v>
      </c>
    </row>
    <row r="2544" spans="1:5" ht="18.5" x14ac:dyDescent="0.45">
      <c r="A2544" s="3">
        <v>2538</v>
      </c>
      <c r="B2544" s="9">
        <f t="shared" si="160"/>
        <v>0.99997964409015272</v>
      </c>
      <c r="C2544" s="3">
        <f t="shared" si="159"/>
        <v>4441509.5871908227</v>
      </c>
      <c r="D2544" s="3">
        <f t="shared" si="161"/>
        <v>0.13433191645890474</v>
      </c>
      <c r="E2544" s="8">
        <f t="shared" si="162"/>
        <v>362.57142857142856</v>
      </c>
    </row>
    <row r="2545" spans="1:5" ht="18.5" x14ac:dyDescent="0.45">
      <c r="A2545" s="3">
        <v>2539</v>
      </c>
      <c r="B2545" s="9">
        <f t="shared" si="160"/>
        <v>0.9999796742797209</v>
      </c>
      <c r="C2545" s="3">
        <f t="shared" si="159"/>
        <v>4441509.7212808086</v>
      </c>
      <c r="D2545" s="3">
        <f t="shared" si="161"/>
        <v>0.13408998586237431</v>
      </c>
      <c r="E2545" s="8">
        <f t="shared" si="162"/>
        <v>362.71428571428572</v>
      </c>
    </row>
    <row r="2546" spans="1:5" ht="18.5" x14ac:dyDescent="0.45">
      <c r="A2546" s="3">
        <v>2540</v>
      </c>
      <c r="B2546" s="9">
        <f t="shared" si="160"/>
        <v>0.99997970441493589</v>
      </c>
      <c r="C2546" s="3">
        <f t="shared" si="159"/>
        <v>4441509.8551293788</v>
      </c>
      <c r="D2546" s="3">
        <f t="shared" si="161"/>
        <v>0.13384857028722763</v>
      </c>
      <c r="E2546" s="8">
        <f t="shared" si="162"/>
        <v>362.85714285714283</v>
      </c>
    </row>
    <row r="2547" spans="1:5" ht="18.5" x14ac:dyDescent="0.45">
      <c r="A2547" s="3">
        <v>2541</v>
      </c>
      <c r="B2547" s="9">
        <f t="shared" si="160"/>
        <v>0.99997973449591326</v>
      </c>
      <c r="C2547" s="3">
        <f t="shared" si="159"/>
        <v>4441509.9887370486</v>
      </c>
      <c r="D2547" s="3">
        <f t="shared" si="161"/>
        <v>0.13360766973346472</v>
      </c>
      <c r="E2547" s="8">
        <f t="shared" si="162"/>
        <v>363</v>
      </c>
    </row>
    <row r="2548" spans="1:5" ht="18.5" x14ac:dyDescent="0.45">
      <c r="A2548" s="3">
        <v>2542</v>
      </c>
      <c r="B2548" s="9">
        <f t="shared" si="160"/>
        <v>0.99997976452276849</v>
      </c>
      <c r="C2548" s="3">
        <f t="shared" si="159"/>
        <v>4441510.1221043281</v>
      </c>
      <c r="D2548" s="3">
        <f t="shared" si="161"/>
        <v>0.13336727954447269</v>
      </c>
      <c r="E2548" s="8">
        <f t="shared" si="162"/>
        <v>363.14285714285717</v>
      </c>
    </row>
    <row r="2549" spans="1:5" ht="18.5" x14ac:dyDescent="0.45">
      <c r="A2549" s="3">
        <v>2543</v>
      </c>
      <c r="B2549" s="9">
        <f t="shared" si="160"/>
        <v>0.99997979449561647</v>
      </c>
      <c r="C2549" s="3">
        <f t="shared" si="159"/>
        <v>4441510.2552317297</v>
      </c>
      <c r="D2549" s="3">
        <f t="shared" si="161"/>
        <v>0.13312740158289671</v>
      </c>
      <c r="E2549" s="8">
        <f t="shared" si="162"/>
        <v>363.28571428571428</v>
      </c>
    </row>
    <row r="2550" spans="1:5" ht="18.5" x14ac:dyDescent="0.45">
      <c r="A2550" s="3">
        <v>2544</v>
      </c>
      <c r="B2550" s="9">
        <f t="shared" si="160"/>
        <v>0.99997982441457223</v>
      </c>
      <c r="C2550" s="3">
        <f t="shared" si="159"/>
        <v>4441510.3881197637</v>
      </c>
      <c r="D2550" s="3">
        <f t="shared" si="161"/>
        <v>0.13288803398609161</v>
      </c>
      <c r="E2550" s="8">
        <f t="shared" si="162"/>
        <v>363.42857142857144</v>
      </c>
    </row>
    <row r="2551" spans="1:5" ht="18.5" x14ac:dyDescent="0.45">
      <c r="A2551" s="3">
        <v>2545</v>
      </c>
      <c r="B2551" s="9">
        <f t="shared" si="160"/>
        <v>0.99997985427975022</v>
      </c>
      <c r="C2551" s="3">
        <f t="shared" si="159"/>
        <v>4441510.5207689386</v>
      </c>
      <c r="D2551" s="3">
        <f t="shared" si="161"/>
        <v>0.13264917489141226</v>
      </c>
      <c r="E2551" s="8">
        <f t="shared" si="162"/>
        <v>363.57142857142856</v>
      </c>
    </row>
    <row r="2552" spans="1:5" ht="18.5" x14ac:dyDescent="0.45">
      <c r="A2552" s="3">
        <v>2546</v>
      </c>
      <c r="B2552" s="9">
        <f t="shared" si="160"/>
        <v>0.99997988409126459</v>
      </c>
      <c r="C2552" s="3">
        <f t="shared" si="159"/>
        <v>4441510.653179761</v>
      </c>
      <c r="D2552" s="3">
        <f t="shared" si="161"/>
        <v>0.13241082243621349</v>
      </c>
      <c r="E2552" s="8">
        <f t="shared" si="162"/>
        <v>363.71428571428572</v>
      </c>
    </row>
    <row r="2553" spans="1:5" ht="18.5" x14ac:dyDescent="0.45">
      <c r="A2553" s="3">
        <v>2547</v>
      </c>
      <c r="B2553" s="9">
        <f t="shared" si="160"/>
        <v>0.99997991384922935</v>
      </c>
      <c r="C2553" s="3">
        <f t="shared" si="159"/>
        <v>4441510.7853527367</v>
      </c>
      <c r="D2553" s="3">
        <f t="shared" si="161"/>
        <v>0.13217297568917274</v>
      </c>
      <c r="E2553" s="8">
        <f t="shared" si="162"/>
        <v>363.85714285714283</v>
      </c>
    </row>
    <row r="2554" spans="1:5" ht="18.5" x14ac:dyDescent="0.45">
      <c r="A2554" s="3">
        <v>2548</v>
      </c>
      <c r="B2554" s="9">
        <f t="shared" si="160"/>
        <v>0.9999799435537583</v>
      </c>
      <c r="C2554" s="3">
        <f t="shared" si="159"/>
        <v>4441510.9172883732</v>
      </c>
      <c r="D2554" s="3">
        <f t="shared" si="161"/>
        <v>0.13193563651293516</v>
      </c>
      <c r="E2554" s="8">
        <f t="shared" si="162"/>
        <v>364</v>
      </c>
    </row>
    <row r="2555" spans="1:5" ht="18.5" x14ac:dyDescent="0.45">
      <c r="A2555" s="3">
        <v>2549</v>
      </c>
      <c r="B2555" s="9">
        <f t="shared" si="160"/>
        <v>0.99997997320496468</v>
      </c>
      <c r="C2555" s="3">
        <f t="shared" si="159"/>
        <v>4441511.0489871707</v>
      </c>
      <c r="D2555" s="3">
        <f t="shared" si="161"/>
        <v>0.13169879745692015</v>
      </c>
      <c r="E2555" s="8">
        <f t="shared" si="162"/>
        <v>364.14285714285717</v>
      </c>
    </row>
    <row r="2556" spans="1:5" ht="18.5" x14ac:dyDescent="0.45">
      <c r="A2556" s="3">
        <v>2550</v>
      </c>
      <c r="B2556" s="9">
        <f t="shared" si="160"/>
        <v>0.99998000280296162</v>
      </c>
      <c r="C2556" s="3">
        <f t="shared" si="159"/>
        <v>4441511.1804496348</v>
      </c>
      <c r="D2556" s="3">
        <f t="shared" si="161"/>
        <v>0.13146246410906315</v>
      </c>
      <c r="E2556" s="8">
        <f t="shared" si="162"/>
        <v>364.28571428571428</v>
      </c>
    </row>
    <row r="2557" spans="1:5" ht="18.5" x14ac:dyDescent="0.45">
      <c r="A2557" s="3">
        <v>2551</v>
      </c>
      <c r="B2557" s="9">
        <f t="shared" si="160"/>
        <v>0.99998003234786204</v>
      </c>
      <c r="C2557" s="3">
        <f t="shared" si="159"/>
        <v>4441511.3116762638</v>
      </c>
      <c r="D2557" s="3">
        <f t="shared" si="161"/>
        <v>0.13122662901878357</v>
      </c>
      <c r="E2557" s="8">
        <f t="shared" si="162"/>
        <v>364.42857142857144</v>
      </c>
    </row>
    <row r="2558" spans="1:5" ht="18.5" x14ac:dyDescent="0.45">
      <c r="A2558" s="3">
        <v>2552</v>
      </c>
      <c r="B2558" s="9">
        <f t="shared" si="160"/>
        <v>0.99998006183977861</v>
      </c>
      <c r="C2558" s="3">
        <f t="shared" si="159"/>
        <v>4441511.4426675607</v>
      </c>
      <c r="D2558" s="3">
        <f t="shared" si="161"/>
        <v>0.13099129684269428</v>
      </c>
      <c r="E2558" s="8">
        <f t="shared" si="162"/>
        <v>364.57142857142856</v>
      </c>
    </row>
    <row r="2559" spans="1:5" ht="18.5" x14ac:dyDescent="0.45">
      <c r="A2559" s="3">
        <v>2553</v>
      </c>
      <c r="B2559" s="9">
        <f t="shared" si="160"/>
        <v>0.99998009127882337</v>
      </c>
      <c r="C2559" s="3">
        <f t="shared" si="159"/>
        <v>4441511.5734240217</v>
      </c>
      <c r="D2559" s="3">
        <f t="shared" si="161"/>
        <v>0.13075646106153727</v>
      </c>
      <c r="E2559" s="8">
        <f t="shared" si="162"/>
        <v>364.71428571428572</v>
      </c>
    </row>
    <row r="2560" spans="1:5" ht="18.5" x14ac:dyDescent="0.45">
      <c r="A2560" s="3">
        <v>2554</v>
      </c>
      <c r="B2560" s="9">
        <f t="shared" si="160"/>
        <v>0.99998012066510855</v>
      </c>
      <c r="C2560" s="3">
        <f t="shared" si="159"/>
        <v>4441511.7039461462</v>
      </c>
      <c r="D2560" s="3">
        <f t="shared" si="161"/>
        <v>0.13052212446928024</v>
      </c>
      <c r="E2560" s="8">
        <f t="shared" si="162"/>
        <v>364.85714285714283</v>
      </c>
    </row>
    <row r="2561" spans="1:5" ht="18.5" x14ac:dyDescent="0.45">
      <c r="A2561" s="3">
        <v>2555</v>
      </c>
      <c r="B2561" s="9">
        <f t="shared" si="160"/>
        <v>0.99998014999874574</v>
      </c>
      <c r="C2561" s="3">
        <f t="shared" si="159"/>
        <v>4441511.8342344295</v>
      </c>
      <c r="D2561" s="3">
        <f t="shared" si="161"/>
        <v>0.13028828334063292</v>
      </c>
      <c r="E2561" s="8">
        <f t="shared" si="162"/>
        <v>365</v>
      </c>
    </row>
    <row r="2562" spans="1:5" ht="18.5" x14ac:dyDescent="0.45">
      <c r="A2562" s="3">
        <v>2556</v>
      </c>
      <c r="B2562" s="9">
        <f t="shared" si="160"/>
        <v>0.99998017927984661</v>
      </c>
      <c r="C2562" s="3">
        <f t="shared" si="159"/>
        <v>4441511.9642893663</v>
      </c>
      <c r="D2562" s="3">
        <f t="shared" si="161"/>
        <v>0.13005493674427271</v>
      </c>
      <c r="E2562" s="8">
        <f t="shared" si="162"/>
        <v>365.14285714285717</v>
      </c>
    </row>
    <row r="2563" spans="1:5" ht="18.5" x14ac:dyDescent="0.45">
      <c r="A2563" s="3">
        <v>2557</v>
      </c>
      <c r="B2563" s="9">
        <f t="shared" si="160"/>
        <v>0.99998020850852209</v>
      </c>
      <c r="C2563" s="3">
        <f t="shared" si="159"/>
        <v>4441512.0941114519</v>
      </c>
      <c r="D2563" s="3">
        <f t="shared" si="161"/>
        <v>0.1298220856115222</v>
      </c>
      <c r="E2563" s="8">
        <f t="shared" si="162"/>
        <v>365.28571428571428</v>
      </c>
    </row>
    <row r="2564" spans="1:5" ht="18.5" x14ac:dyDescent="0.45">
      <c r="A2564" s="3">
        <v>2558</v>
      </c>
      <c r="B2564" s="9">
        <f t="shared" si="160"/>
        <v>0.99998023768488331</v>
      </c>
      <c r="C2564" s="3">
        <f t="shared" si="159"/>
        <v>4441512.2237011781</v>
      </c>
      <c r="D2564" s="3">
        <f t="shared" si="161"/>
        <v>0.12958972621709108</v>
      </c>
      <c r="E2564" s="8">
        <f t="shared" si="162"/>
        <v>365.42857142857144</v>
      </c>
    </row>
    <row r="2565" spans="1:5" ht="18.5" x14ac:dyDescent="0.45">
      <c r="A2565" s="3">
        <v>2559</v>
      </c>
      <c r="B2565" s="9">
        <f t="shared" si="160"/>
        <v>0.99998026680904084</v>
      </c>
      <c r="C2565" s="3">
        <f t="shared" si="159"/>
        <v>4441512.3530590357</v>
      </c>
      <c r="D2565" s="3">
        <f t="shared" si="161"/>
        <v>0.12935785762965679</v>
      </c>
      <c r="E2565" s="8">
        <f t="shared" si="162"/>
        <v>365.57142857142856</v>
      </c>
    </row>
    <row r="2566" spans="1:5" ht="18.5" x14ac:dyDescent="0.45">
      <c r="A2566" s="3">
        <v>2560</v>
      </c>
      <c r="B2566" s="9">
        <f t="shared" si="160"/>
        <v>0.99998029588110504</v>
      </c>
      <c r="C2566" s="3">
        <f t="shared" si="159"/>
        <v>4441512.4821855165</v>
      </c>
      <c r="D2566" s="3">
        <f t="shared" si="161"/>
        <v>0.1291264807805419</v>
      </c>
      <c r="E2566" s="8">
        <f t="shared" si="162"/>
        <v>365.71428571428572</v>
      </c>
    </row>
    <row r="2567" spans="1:5" ht="18.5" x14ac:dyDescent="0.45">
      <c r="A2567" s="3">
        <v>2561</v>
      </c>
      <c r="B2567" s="9">
        <f t="shared" si="160"/>
        <v>0.99998032490118605</v>
      </c>
      <c r="C2567" s="3">
        <f t="shared" si="159"/>
        <v>4441512.6110811075</v>
      </c>
      <c r="D2567" s="3">
        <f t="shared" si="161"/>
        <v>0.12889559101313353</v>
      </c>
      <c r="E2567" s="8">
        <f t="shared" si="162"/>
        <v>365.85714285714283</v>
      </c>
    </row>
    <row r="2568" spans="1:5" ht="18.5" x14ac:dyDescent="0.45">
      <c r="A2568" s="3">
        <v>2562</v>
      </c>
      <c r="B2568" s="9">
        <f t="shared" si="160"/>
        <v>0.99998035386939377</v>
      </c>
      <c r="C2568" s="3">
        <f t="shared" ref="C2568:C2631" si="163">$E$3*B2568</f>
        <v>4441512.7397462996</v>
      </c>
      <c r="D2568" s="3">
        <f t="shared" si="161"/>
        <v>0.12866519205272198</v>
      </c>
      <c r="E2568" s="8">
        <f t="shared" si="162"/>
        <v>366</v>
      </c>
    </row>
    <row r="2569" spans="1:5" ht="18.5" x14ac:dyDescent="0.45">
      <c r="A2569" s="3">
        <v>2563</v>
      </c>
      <c r="B2569" s="9">
        <f t="shared" si="160"/>
        <v>0.99998038278583756</v>
      </c>
      <c r="C2569" s="3">
        <f t="shared" si="163"/>
        <v>4441512.868181576</v>
      </c>
      <c r="D2569" s="3">
        <f t="shared" si="161"/>
        <v>0.12843527644872665</v>
      </c>
      <c r="E2569" s="8">
        <f t="shared" si="162"/>
        <v>366.14285714285717</v>
      </c>
    </row>
    <row r="2570" spans="1:5" ht="18.5" x14ac:dyDescent="0.45">
      <c r="A2570" s="3">
        <v>2564</v>
      </c>
      <c r="B2570" s="9">
        <f t="shared" si="160"/>
        <v>0.99998041165062701</v>
      </c>
      <c r="C2570" s="3">
        <f t="shared" si="163"/>
        <v>4441512.9963874249</v>
      </c>
      <c r="D2570" s="3">
        <f t="shared" si="161"/>
        <v>0.12820584885776043</v>
      </c>
      <c r="E2570" s="8">
        <f t="shared" si="162"/>
        <v>366.28571428571428</v>
      </c>
    </row>
    <row r="2571" spans="1:5" ht="18.5" x14ac:dyDescent="0.45">
      <c r="A2571" s="3">
        <v>2565</v>
      </c>
      <c r="B2571" s="9">
        <f t="shared" si="160"/>
        <v>0.99998044046387102</v>
      </c>
      <c r="C2571" s="3">
        <f t="shared" si="163"/>
        <v>4441513.1243643295</v>
      </c>
      <c r="D2571" s="3">
        <f t="shared" si="161"/>
        <v>0.12797690462321043</v>
      </c>
      <c r="E2571" s="8">
        <f t="shared" si="162"/>
        <v>366.42857142857144</v>
      </c>
    </row>
    <row r="2572" spans="1:5" ht="18.5" x14ac:dyDescent="0.45">
      <c r="A2572" s="3">
        <v>2566</v>
      </c>
      <c r="B2572" s="9">
        <f t="shared" si="160"/>
        <v>0.99998046922567829</v>
      </c>
      <c r="C2572" s="3">
        <f t="shared" si="163"/>
        <v>4441513.2521127723</v>
      </c>
      <c r="D2572" s="3">
        <f t="shared" si="161"/>
        <v>0.12774844281375408</v>
      </c>
      <c r="E2572" s="8">
        <f t="shared" si="162"/>
        <v>366.57142857142856</v>
      </c>
    </row>
    <row r="2573" spans="1:5" ht="18.5" x14ac:dyDescent="0.45">
      <c r="A2573" s="3">
        <v>2567</v>
      </c>
      <c r="B2573" s="9">
        <f t="shared" si="160"/>
        <v>0.99998049793615751</v>
      </c>
      <c r="C2573" s="3">
        <f t="shared" si="163"/>
        <v>4441513.3796332376</v>
      </c>
      <c r="D2573" s="3">
        <f t="shared" si="161"/>
        <v>0.12752046529203653</v>
      </c>
      <c r="E2573" s="8">
        <f t="shared" si="162"/>
        <v>366.71428571428572</v>
      </c>
    </row>
    <row r="2574" spans="1:5" ht="18.5" x14ac:dyDescent="0.45">
      <c r="A2574" s="3">
        <v>2568</v>
      </c>
      <c r="B2574" s="9">
        <f t="shared" si="160"/>
        <v>0.9999805265954167</v>
      </c>
      <c r="C2574" s="3">
        <f t="shared" si="163"/>
        <v>4441513.5069262031</v>
      </c>
      <c r="D2574" s="3">
        <f t="shared" si="161"/>
        <v>0.12729296553879976</v>
      </c>
      <c r="E2574" s="8">
        <f t="shared" si="162"/>
        <v>366.85714285714283</v>
      </c>
    </row>
    <row r="2575" spans="1:5" ht="18.5" x14ac:dyDescent="0.45">
      <c r="A2575" s="3">
        <v>2569</v>
      </c>
      <c r="B2575" s="9">
        <f t="shared" si="160"/>
        <v>0.99998055520356399</v>
      </c>
      <c r="C2575" s="3">
        <f t="shared" si="163"/>
        <v>4441513.6339921495</v>
      </c>
      <c r="D2575" s="3">
        <f t="shared" si="161"/>
        <v>0.12706594634801149</v>
      </c>
      <c r="E2575" s="8">
        <f t="shared" si="162"/>
        <v>367</v>
      </c>
    </row>
    <row r="2576" spans="1:5" ht="18.5" x14ac:dyDescent="0.45">
      <c r="A2576" s="3">
        <v>2570</v>
      </c>
      <c r="B2576" s="9">
        <f t="shared" si="160"/>
        <v>0.99998058376070709</v>
      </c>
      <c r="C2576" s="3">
        <f t="shared" si="163"/>
        <v>4441513.7608315563</v>
      </c>
      <c r="D2576" s="3">
        <f t="shared" si="161"/>
        <v>0.12683940678834915</v>
      </c>
      <c r="E2576" s="8">
        <f t="shared" si="162"/>
        <v>367.14285714285717</v>
      </c>
    </row>
    <row r="2577" spans="1:5" ht="18.5" x14ac:dyDescent="0.45">
      <c r="A2577" s="3">
        <v>2571</v>
      </c>
      <c r="B2577" s="9">
        <f t="shared" si="160"/>
        <v>0.99998061226695334</v>
      </c>
      <c r="C2577" s="3">
        <f t="shared" si="163"/>
        <v>4441513.8874449003</v>
      </c>
      <c r="D2577" s="3">
        <f t="shared" si="161"/>
        <v>0.12661334406584501</v>
      </c>
      <c r="E2577" s="8">
        <f t="shared" si="162"/>
        <v>367.28571428571428</v>
      </c>
    </row>
    <row r="2578" spans="1:5" ht="18.5" x14ac:dyDescent="0.45">
      <c r="A2578" s="3">
        <v>2572</v>
      </c>
      <c r="B2578" s="9">
        <f t="shared" si="160"/>
        <v>0.99998064072241</v>
      </c>
      <c r="C2578" s="3">
        <f t="shared" si="163"/>
        <v>4441514.0138326567</v>
      </c>
      <c r="D2578" s="3">
        <f t="shared" si="161"/>
        <v>0.12638775631785393</v>
      </c>
      <c r="E2578" s="8">
        <f t="shared" si="162"/>
        <v>367.42857142857144</v>
      </c>
    </row>
    <row r="2579" spans="1:5" ht="18.5" x14ac:dyDescent="0.45">
      <c r="A2579" s="3">
        <v>2573</v>
      </c>
      <c r="B2579" s="9">
        <f t="shared" si="160"/>
        <v>0.99998066912718397</v>
      </c>
      <c r="C2579" s="3">
        <f t="shared" si="163"/>
        <v>4441514.1399953002</v>
      </c>
      <c r="D2579" s="3">
        <f t="shared" si="161"/>
        <v>0.1261626435443759</v>
      </c>
      <c r="E2579" s="8">
        <f t="shared" si="162"/>
        <v>367.57142857142856</v>
      </c>
    </row>
    <row r="2580" spans="1:5" ht="18.5" x14ac:dyDescent="0.45">
      <c r="A2580" s="3">
        <v>2574</v>
      </c>
      <c r="B2580" s="9">
        <f t="shared" si="160"/>
        <v>0.99998069748138196</v>
      </c>
      <c r="C2580" s="3">
        <f t="shared" si="163"/>
        <v>4441514.265933306</v>
      </c>
      <c r="D2580" s="3">
        <f t="shared" si="161"/>
        <v>0.12593800574541092</v>
      </c>
      <c r="E2580" s="8">
        <f t="shared" si="162"/>
        <v>367.71428571428572</v>
      </c>
    </row>
    <row r="2581" spans="1:5" ht="18.5" x14ac:dyDescent="0.45">
      <c r="A2581" s="3">
        <v>2575</v>
      </c>
      <c r="B2581" s="9">
        <f t="shared" si="160"/>
        <v>0.99998072578511032</v>
      </c>
      <c r="C2581" s="3">
        <f t="shared" si="163"/>
        <v>4441514.3916471461</v>
      </c>
      <c r="D2581" s="3">
        <f t="shared" si="161"/>
        <v>0.12571384012699127</v>
      </c>
      <c r="E2581" s="8">
        <f t="shared" si="162"/>
        <v>367.85714285714283</v>
      </c>
    </row>
    <row r="2582" spans="1:5" ht="18.5" x14ac:dyDescent="0.45">
      <c r="A2582" s="3">
        <v>2576</v>
      </c>
      <c r="B2582" s="9">
        <f t="shared" si="160"/>
        <v>0.99998075403847531</v>
      </c>
      <c r="C2582" s="3">
        <f t="shared" si="163"/>
        <v>4441514.5171372918</v>
      </c>
      <c r="D2582" s="3">
        <f t="shared" si="161"/>
        <v>0.12549014575779438</v>
      </c>
      <c r="E2582" s="8">
        <f t="shared" si="162"/>
        <v>368</v>
      </c>
    </row>
    <row r="2583" spans="1:5" ht="18.5" x14ac:dyDescent="0.45">
      <c r="A2583" s="3">
        <v>2577</v>
      </c>
      <c r="B2583" s="9">
        <f t="shared" ref="B2583:B2646" si="164">LOGNORMDIST(A2583,$A$3,$B$3)</f>
        <v>0.9999807822415826</v>
      </c>
      <c r="C2583" s="3">
        <f t="shared" si="163"/>
        <v>4441514.6424042135</v>
      </c>
      <c r="D2583" s="3">
        <f t="shared" ref="D2583:D2646" si="165">C2583-C2582</f>
        <v>0.12526692170649767</v>
      </c>
      <c r="E2583" s="8">
        <f t="shared" ref="E2583:E2646" si="166">A2583/7</f>
        <v>368.14285714285717</v>
      </c>
    </row>
    <row r="2584" spans="1:5" ht="18.5" x14ac:dyDescent="0.45">
      <c r="A2584" s="3">
        <v>2578</v>
      </c>
      <c r="B2584" s="9">
        <f t="shared" si="164"/>
        <v>0.99998081039453801</v>
      </c>
      <c r="C2584" s="3">
        <f t="shared" si="163"/>
        <v>4441514.7674483797</v>
      </c>
      <c r="D2584" s="3">
        <f t="shared" si="165"/>
        <v>0.12504416611045599</v>
      </c>
      <c r="E2584" s="8">
        <f t="shared" si="166"/>
        <v>368.28571428571428</v>
      </c>
    </row>
    <row r="2585" spans="1:5" ht="18.5" x14ac:dyDescent="0.45">
      <c r="A2585" s="3">
        <v>2579</v>
      </c>
      <c r="B2585" s="9">
        <f t="shared" si="164"/>
        <v>0.9999808384974469</v>
      </c>
      <c r="C2585" s="3">
        <f t="shared" si="163"/>
        <v>4441514.8922702605</v>
      </c>
      <c r="D2585" s="3">
        <f t="shared" si="165"/>
        <v>0.12482188083231449</v>
      </c>
      <c r="E2585" s="8">
        <f t="shared" si="166"/>
        <v>368.42857142857144</v>
      </c>
    </row>
    <row r="2586" spans="1:5" ht="18.5" x14ac:dyDescent="0.45">
      <c r="A2586" s="3">
        <v>2580</v>
      </c>
      <c r="B2586" s="9">
        <f t="shared" si="164"/>
        <v>0.9999808665504144</v>
      </c>
      <c r="C2586" s="3">
        <f t="shared" si="163"/>
        <v>4441515.0168703208</v>
      </c>
      <c r="D2586" s="3">
        <f t="shared" si="165"/>
        <v>0.12460006028413773</v>
      </c>
      <c r="E2586" s="8">
        <f t="shared" si="166"/>
        <v>368.57142857142856</v>
      </c>
    </row>
    <row r="2587" spans="1:5" ht="18.5" x14ac:dyDescent="0.45">
      <c r="A2587" s="3">
        <v>2581</v>
      </c>
      <c r="B2587" s="9">
        <f t="shared" si="164"/>
        <v>0.99998089455354522</v>
      </c>
      <c r="C2587" s="3">
        <f t="shared" si="163"/>
        <v>4441515.1412490262</v>
      </c>
      <c r="D2587" s="3">
        <f t="shared" si="165"/>
        <v>0.12437870539724827</v>
      </c>
      <c r="E2587" s="8">
        <f t="shared" si="166"/>
        <v>368.71428571428572</v>
      </c>
    </row>
    <row r="2588" spans="1:5" ht="18.5" x14ac:dyDescent="0.45">
      <c r="A2588" s="3">
        <v>2582</v>
      </c>
      <c r="B2588" s="9">
        <f t="shared" si="164"/>
        <v>0.99998092250694415</v>
      </c>
      <c r="C2588" s="3">
        <f t="shared" si="163"/>
        <v>4441515.2654068433</v>
      </c>
      <c r="D2588" s="3">
        <f t="shared" si="165"/>
        <v>0.12415781710296869</v>
      </c>
      <c r="E2588" s="8">
        <f t="shared" si="166"/>
        <v>368.85714285714283</v>
      </c>
    </row>
    <row r="2589" spans="1:5" ht="18.5" x14ac:dyDescent="0.45">
      <c r="A2589" s="3">
        <v>2583</v>
      </c>
      <c r="B2589" s="9">
        <f t="shared" si="164"/>
        <v>0.99998095041071533</v>
      </c>
      <c r="C2589" s="3">
        <f t="shared" si="163"/>
        <v>4441515.3893442331</v>
      </c>
      <c r="D2589" s="3">
        <f t="shared" si="165"/>
        <v>0.12393738981336355</v>
      </c>
      <c r="E2589" s="8">
        <f t="shared" si="166"/>
        <v>369</v>
      </c>
    </row>
    <row r="2590" spans="1:5" ht="18.5" x14ac:dyDescent="0.45">
      <c r="A2590" s="3">
        <v>2584</v>
      </c>
      <c r="B2590" s="9">
        <f t="shared" si="164"/>
        <v>0.99998097826496313</v>
      </c>
      <c r="C2590" s="3">
        <f t="shared" si="163"/>
        <v>4441515.5130616603</v>
      </c>
      <c r="D2590" s="3">
        <f t="shared" si="165"/>
        <v>0.12371742725372314</v>
      </c>
      <c r="E2590" s="8">
        <f t="shared" si="166"/>
        <v>369.14285714285717</v>
      </c>
    </row>
    <row r="2591" spans="1:5" ht="18.5" x14ac:dyDescent="0.45">
      <c r="A2591" s="3">
        <v>2585</v>
      </c>
      <c r="B2591" s="9">
        <f t="shared" si="164"/>
        <v>0.99998100606979123</v>
      </c>
      <c r="C2591" s="3">
        <f t="shared" si="163"/>
        <v>4441515.6365595851</v>
      </c>
      <c r="D2591" s="3">
        <f t="shared" si="165"/>
        <v>0.1234979247674346</v>
      </c>
      <c r="E2591" s="8">
        <f t="shared" si="166"/>
        <v>369.28571428571428</v>
      </c>
    </row>
    <row r="2592" spans="1:5" ht="18.5" x14ac:dyDescent="0.45">
      <c r="A2592" s="3">
        <v>2586</v>
      </c>
      <c r="B2592" s="9">
        <f t="shared" si="164"/>
        <v>0.99998103382530323</v>
      </c>
      <c r="C2592" s="3">
        <f t="shared" si="163"/>
        <v>4441515.7598384665</v>
      </c>
      <c r="D2592" s="3">
        <f t="shared" si="165"/>
        <v>0.12327888142317533</v>
      </c>
      <c r="E2592" s="8">
        <f t="shared" si="166"/>
        <v>369.42857142857144</v>
      </c>
    </row>
    <row r="2593" spans="1:5" ht="18.5" x14ac:dyDescent="0.45">
      <c r="A2593" s="3">
        <v>2587</v>
      </c>
      <c r="B2593" s="9">
        <f t="shared" si="164"/>
        <v>0.99998106153160249</v>
      </c>
      <c r="C2593" s="3">
        <f t="shared" si="163"/>
        <v>4441515.8828987656</v>
      </c>
      <c r="D2593" s="3">
        <f t="shared" si="165"/>
        <v>0.12306029908359051</v>
      </c>
      <c r="E2593" s="8">
        <f t="shared" si="166"/>
        <v>369.57142857142856</v>
      </c>
    </row>
    <row r="2594" spans="1:5" ht="18.5" x14ac:dyDescent="0.45">
      <c r="A2594" s="3">
        <v>2588</v>
      </c>
      <c r="B2594" s="9">
        <f t="shared" si="164"/>
        <v>0.99998108918879203</v>
      </c>
      <c r="C2594" s="3">
        <f t="shared" si="163"/>
        <v>4441516.0057409387</v>
      </c>
      <c r="D2594" s="3">
        <f t="shared" si="165"/>
        <v>0.12284217309206724</v>
      </c>
      <c r="E2594" s="8">
        <f t="shared" si="166"/>
        <v>369.71428571428572</v>
      </c>
    </row>
    <row r="2595" spans="1:5" ht="18.5" x14ac:dyDescent="0.45">
      <c r="A2595" s="3">
        <v>2589</v>
      </c>
      <c r="B2595" s="9">
        <f t="shared" si="164"/>
        <v>0.99998111679697488</v>
      </c>
      <c r="C2595" s="3">
        <f t="shared" si="163"/>
        <v>4441516.128365444</v>
      </c>
      <c r="D2595" s="3">
        <f t="shared" si="165"/>
        <v>0.12262450531125069</v>
      </c>
      <c r="E2595" s="8">
        <f t="shared" si="166"/>
        <v>369.85714285714283</v>
      </c>
    </row>
    <row r="2596" spans="1:5" ht="18.5" x14ac:dyDescent="0.45">
      <c r="A2596" s="3">
        <v>2590</v>
      </c>
      <c r="B2596" s="9">
        <f t="shared" si="164"/>
        <v>0.99998114435625352</v>
      </c>
      <c r="C2596" s="3">
        <f t="shared" si="163"/>
        <v>4441516.250772736</v>
      </c>
      <c r="D2596" s="3">
        <f t="shared" si="165"/>
        <v>0.12240729201585054</v>
      </c>
      <c r="E2596" s="8">
        <f t="shared" si="166"/>
        <v>370</v>
      </c>
    </row>
    <row r="2597" spans="1:5" ht="18.5" x14ac:dyDescent="0.45">
      <c r="A2597" s="3">
        <v>2591</v>
      </c>
      <c r="B2597" s="9">
        <f t="shared" si="164"/>
        <v>0.9999811718667303</v>
      </c>
      <c r="C2597" s="3">
        <f t="shared" si="163"/>
        <v>4441516.3729632692</v>
      </c>
      <c r="D2597" s="3">
        <f t="shared" si="165"/>
        <v>0.12219053320586681</v>
      </c>
      <c r="E2597" s="8">
        <f t="shared" si="166"/>
        <v>370.14285714285717</v>
      </c>
    </row>
    <row r="2598" spans="1:5" ht="18.5" x14ac:dyDescent="0.45">
      <c r="A2598" s="3">
        <v>2592</v>
      </c>
      <c r="B2598" s="9">
        <f t="shared" si="164"/>
        <v>0.99998119932850726</v>
      </c>
      <c r="C2598" s="3">
        <f t="shared" si="163"/>
        <v>4441516.4949374981</v>
      </c>
      <c r="D2598" s="3">
        <f t="shared" si="165"/>
        <v>0.1219742288812995</v>
      </c>
      <c r="E2598" s="8">
        <f t="shared" si="166"/>
        <v>370.28571428571428</v>
      </c>
    </row>
    <row r="2599" spans="1:5" ht="18.5" x14ac:dyDescent="0.45">
      <c r="A2599" s="3">
        <v>2593</v>
      </c>
      <c r="B2599" s="9">
        <f t="shared" si="164"/>
        <v>0.99998122674168644</v>
      </c>
      <c r="C2599" s="3">
        <f t="shared" si="163"/>
        <v>4441516.6166958744</v>
      </c>
      <c r="D2599" s="3">
        <f t="shared" si="165"/>
        <v>0.12175837624818087</v>
      </c>
      <c r="E2599" s="8">
        <f t="shared" si="166"/>
        <v>370.42857142857144</v>
      </c>
    </row>
    <row r="2600" spans="1:5" ht="18.5" x14ac:dyDescent="0.45">
      <c r="A2600" s="3">
        <v>2594</v>
      </c>
      <c r="B2600" s="9">
        <f t="shared" si="164"/>
        <v>0.99998125410636918</v>
      </c>
      <c r="C2600" s="3">
        <f t="shared" si="163"/>
        <v>4441516.7382388497</v>
      </c>
      <c r="D2600" s="3">
        <f t="shared" si="165"/>
        <v>0.12154297530651093</v>
      </c>
      <c r="E2600" s="8">
        <f t="shared" si="166"/>
        <v>370.57142857142856</v>
      </c>
    </row>
    <row r="2601" spans="1:5" ht="18.5" x14ac:dyDescent="0.45">
      <c r="A2601" s="3">
        <v>2595</v>
      </c>
      <c r="B2601" s="9">
        <f t="shared" si="164"/>
        <v>0.99998128142265708</v>
      </c>
      <c r="C2601" s="3">
        <f t="shared" si="163"/>
        <v>4441516.8595668739</v>
      </c>
      <c r="D2601" s="3">
        <f t="shared" si="165"/>
        <v>0.12132802419364452</v>
      </c>
      <c r="E2601" s="8">
        <f t="shared" si="166"/>
        <v>370.71428571428572</v>
      </c>
    </row>
    <row r="2602" spans="1:5" ht="18.5" x14ac:dyDescent="0.45">
      <c r="A2602" s="3">
        <v>2596</v>
      </c>
      <c r="B2602" s="9">
        <f t="shared" si="164"/>
        <v>0.99998130869065105</v>
      </c>
      <c r="C2602" s="3">
        <f t="shared" si="163"/>
        <v>4441516.9806803958</v>
      </c>
      <c r="D2602" s="3">
        <f t="shared" si="165"/>
        <v>0.12111352197825909</v>
      </c>
      <c r="E2602" s="8">
        <f t="shared" si="166"/>
        <v>370.85714285714283</v>
      </c>
    </row>
    <row r="2603" spans="1:5" ht="18.5" x14ac:dyDescent="0.45">
      <c r="A2603" s="3">
        <v>2597</v>
      </c>
      <c r="B2603" s="9">
        <f t="shared" si="164"/>
        <v>0.99998133591045213</v>
      </c>
      <c r="C2603" s="3">
        <f t="shared" si="163"/>
        <v>4441517.1015798645</v>
      </c>
      <c r="D2603" s="3">
        <f t="shared" si="165"/>
        <v>0.12089946866035461</v>
      </c>
      <c r="E2603" s="8">
        <f t="shared" si="166"/>
        <v>371</v>
      </c>
    </row>
    <row r="2604" spans="1:5" ht="18.5" x14ac:dyDescent="0.45">
      <c r="A2604" s="3">
        <v>2598</v>
      </c>
      <c r="B2604" s="9">
        <f t="shared" si="164"/>
        <v>0.99998136308216079</v>
      </c>
      <c r="C2604" s="3">
        <f t="shared" si="163"/>
        <v>4441517.222265725</v>
      </c>
      <c r="D2604" s="3">
        <f t="shared" si="165"/>
        <v>0.12068586051464081</v>
      </c>
      <c r="E2604" s="8">
        <f t="shared" si="166"/>
        <v>371.14285714285717</v>
      </c>
    </row>
    <row r="2605" spans="1:5" ht="18.5" x14ac:dyDescent="0.45">
      <c r="A2605" s="3">
        <v>2599</v>
      </c>
      <c r="B2605" s="9">
        <f t="shared" si="164"/>
        <v>0.99998139020587762</v>
      </c>
      <c r="C2605" s="3">
        <f t="shared" si="163"/>
        <v>4441517.3427384263</v>
      </c>
      <c r="D2605" s="3">
        <f t="shared" si="165"/>
        <v>0.12047270126640797</v>
      </c>
      <c r="E2605" s="8">
        <f t="shared" si="166"/>
        <v>371.28571428571428</v>
      </c>
    </row>
    <row r="2606" spans="1:5" ht="18.5" x14ac:dyDescent="0.45">
      <c r="A2606" s="3">
        <v>2600</v>
      </c>
      <c r="B2606" s="9">
        <f t="shared" si="164"/>
        <v>0.99998141728170253</v>
      </c>
      <c r="C2606" s="3">
        <f t="shared" si="163"/>
        <v>4441517.4629984098</v>
      </c>
      <c r="D2606" s="3">
        <f t="shared" si="165"/>
        <v>0.12025998346507549</v>
      </c>
      <c r="E2606" s="8">
        <f t="shared" si="166"/>
        <v>371.42857142857144</v>
      </c>
    </row>
    <row r="2607" spans="1:5" ht="18.5" x14ac:dyDescent="0.45">
      <c r="A2607" s="3">
        <v>2601</v>
      </c>
      <c r="B2607" s="9">
        <f t="shared" si="164"/>
        <v>0.99998144430973557</v>
      </c>
      <c r="C2607" s="3">
        <f t="shared" si="163"/>
        <v>4441517.5830461215</v>
      </c>
      <c r="D2607" s="3">
        <f t="shared" si="165"/>
        <v>0.12004771176725626</v>
      </c>
      <c r="E2607" s="8">
        <f t="shared" si="166"/>
        <v>371.57142857142856</v>
      </c>
    </row>
    <row r="2608" spans="1:5" ht="18.5" x14ac:dyDescent="0.45">
      <c r="A2608" s="3">
        <v>2602</v>
      </c>
      <c r="B2608" s="9">
        <f t="shared" si="164"/>
        <v>0.99998147129007631</v>
      </c>
      <c r="C2608" s="3">
        <f t="shared" si="163"/>
        <v>4441517.702882003</v>
      </c>
      <c r="D2608" s="3">
        <f t="shared" si="165"/>
        <v>0.11983588151633739</v>
      </c>
      <c r="E2608" s="8">
        <f t="shared" si="166"/>
        <v>371.71428571428572</v>
      </c>
    </row>
    <row r="2609" spans="1:5" ht="18.5" x14ac:dyDescent="0.45">
      <c r="A2609" s="3">
        <v>2603</v>
      </c>
      <c r="B2609" s="9">
        <f t="shared" si="164"/>
        <v>0.99998149822282412</v>
      </c>
      <c r="C2609" s="3">
        <f t="shared" si="163"/>
        <v>4441517.8225064958</v>
      </c>
      <c r="D2609" s="3">
        <f t="shared" si="165"/>
        <v>0.1196244927123189</v>
      </c>
      <c r="E2609" s="8">
        <f t="shared" si="166"/>
        <v>371.85714285714283</v>
      </c>
    </row>
    <row r="2610" spans="1:5" ht="18.5" x14ac:dyDescent="0.45">
      <c r="A2610" s="3">
        <v>2604</v>
      </c>
      <c r="B2610" s="9">
        <f t="shared" si="164"/>
        <v>0.99998152510807836</v>
      </c>
      <c r="C2610" s="3">
        <f t="shared" si="163"/>
        <v>4441517.9419200411</v>
      </c>
      <c r="D2610" s="3">
        <f t="shared" si="165"/>
        <v>0.11941354535520077</v>
      </c>
      <c r="E2610" s="8">
        <f t="shared" si="166"/>
        <v>372</v>
      </c>
    </row>
    <row r="2611" spans="1:5" ht="18.5" x14ac:dyDescent="0.45">
      <c r="A2611" s="3">
        <v>2605</v>
      </c>
      <c r="B2611" s="9">
        <f t="shared" si="164"/>
        <v>0.99998155194593785</v>
      </c>
      <c r="C2611" s="3">
        <f t="shared" si="163"/>
        <v>4441518.0611230778</v>
      </c>
      <c r="D2611" s="3">
        <f t="shared" si="165"/>
        <v>0.11920303665101528</v>
      </c>
      <c r="E2611" s="8">
        <f t="shared" si="166"/>
        <v>372.14285714285717</v>
      </c>
    </row>
    <row r="2612" spans="1:5" ht="18.5" x14ac:dyDescent="0.45">
      <c r="A2612" s="3">
        <v>2606</v>
      </c>
      <c r="B2612" s="9">
        <f t="shared" si="164"/>
        <v>0.99998157873650129</v>
      </c>
      <c r="C2612" s="3">
        <f t="shared" si="163"/>
        <v>4441518.1801160444</v>
      </c>
      <c r="D2612" s="3">
        <f t="shared" si="165"/>
        <v>0.11899296659976244</v>
      </c>
      <c r="E2612" s="8">
        <f t="shared" si="166"/>
        <v>372.28571428571428</v>
      </c>
    </row>
    <row r="2613" spans="1:5" ht="18.5" x14ac:dyDescent="0.45">
      <c r="A2613" s="3">
        <v>2607</v>
      </c>
      <c r="B2613" s="9">
        <f t="shared" si="164"/>
        <v>0.99998160547986714</v>
      </c>
      <c r="C2613" s="3">
        <f t="shared" si="163"/>
        <v>4441518.2988993777</v>
      </c>
      <c r="D2613" s="3">
        <f t="shared" si="165"/>
        <v>0.11878333333879709</v>
      </c>
      <c r="E2613" s="8">
        <f t="shared" si="166"/>
        <v>372.42857142857144</v>
      </c>
    </row>
    <row r="2614" spans="1:5" ht="18.5" x14ac:dyDescent="0.45">
      <c r="A2614" s="3">
        <v>2608</v>
      </c>
      <c r="B2614" s="9">
        <f t="shared" si="164"/>
        <v>0.99998163217613367</v>
      </c>
      <c r="C2614" s="3">
        <f t="shared" si="163"/>
        <v>4441518.4174735155</v>
      </c>
      <c r="D2614" s="3">
        <f t="shared" si="165"/>
        <v>0.11857413779944181</v>
      </c>
      <c r="E2614" s="8">
        <f t="shared" si="166"/>
        <v>372.57142857142856</v>
      </c>
    </row>
    <row r="2615" spans="1:5" ht="18.5" x14ac:dyDescent="0.45">
      <c r="A2615" s="3">
        <v>2609</v>
      </c>
      <c r="B2615" s="9">
        <f t="shared" si="164"/>
        <v>0.9999816588253988</v>
      </c>
      <c r="C2615" s="3">
        <f t="shared" si="163"/>
        <v>4441518.5358388918</v>
      </c>
      <c r="D2615" s="3">
        <f t="shared" si="165"/>
        <v>0.11836537625640631</v>
      </c>
      <c r="E2615" s="8">
        <f t="shared" si="166"/>
        <v>372.71428571428572</v>
      </c>
    </row>
    <row r="2616" spans="1:5" ht="18.5" x14ac:dyDescent="0.45">
      <c r="A2616" s="3">
        <v>2610</v>
      </c>
      <c r="B2616" s="9">
        <f t="shared" si="164"/>
        <v>0.99998168542776034</v>
      </c>
      <c r="C2616" s="3">
        <f t="shared" si="163"/>
        <v>4441518.6539959405</v>
      </c>
      <c r="D2616" s="3">
        <f t="shared" si="165"/>
        <v>0.11815704870969057</v>
      </c>
      <c r="E2616" s="8">
        <f t="shared" si="166"/>
        <v>372.85714285714283</v>
      </c>
    </row>
    <row r="2617" spans="1:5" ht="18.5" x14ac:dyDescent="0.45">
      <c r="A2617" s="3">
        <v>2611</v>
      </c>
      <c r="B2617" s="9">
        <f t="shared" si="164"/>
        <v>0.99998171198331576</v>
      </c>
      <c r="C2617" s="3">
        <f t="shared" si="163"/>
        <v>4441518.7719450956</v>
      </c>
      <c r="D2617" s="3">
        <f t="shared" si="165"/>
        <v>0.11794915515929461</v>
      </c>
      <c r="E2617" s="8">
        <f t="shared" si="166"/>
        <v>373</v>
      </c>
    </row>
    <row r="2618" spans="1:5" ht="18.5" x14ac:dyDescent="0.45">
      <c r="A2618" s="3">
        <v>2612</v>
      </c>
      <c r="B2618" s="9">
        <f t="shared" si="164"/>
        <v>0.99998173849216243</v>
      </c>
      <c r="C2618" s="3">
        <f t="shared" si="163"/>
        <v>4441518.8896867884</v>
      </c>
      <c r="D2618" s="3">
        <f t="shared" si="165"/>
        <v>0.11774169281125069</v>
      </c>
      <c r="E2618" s="8">
        <f t="shared" si="166"/>
        <v>373.14285714285717</v>
      </c>
    </row>
    <row r="2619" spans="1:5" ht="18.5" x14ac:dyDescent="0.45">
      <c r="A2619" s="3">
        <v>2613</v>
      </c>
      <c r="B2619" s="9">
        <f t="shared" si="164"/>
        <v>0.99998176495439717</v>
      </c>
      <c r="C2619" s="3">
        <f t="shared" si="163"/>
        <v>4441519.0072214501</v>
      </c>
      <c r="D2619" s="3">
        <f t="shared" si="165"/>
        <v>0.11753466166555882</v>
      </c>
      <c r="E2619" s="8">
        <f t="shared" si="166"/>
        <v>373.28571428571428</v>
      </c>
    </row>
    <row r="2620" spans="1:5" ht="18.5" x14ac:dyDescent="0.45">
      <c r="A2620" s="3">
        <v>2614</v>
      </c>
      <c r="B2620" s="9">
        <f t="shared" si="164"/>
        <v>0.99998179137011711</v>
      </c>
      <c r="C2620" s="3">
        <f t="shared" si="163"/>
        <v>4441519.1245495118</v>
      </c>
      <c r="D2620" s="3">
        <f t="shared" si="165"/>
        <v>0.11732806172221899</v>
      </c>
      <c r="E2620" s="8">
        <f t="shared" si="166"/>
        <v>373.42857142857144</v>
      </c>
    </row>
    <row r="2621" spans="1:5" ht="18.5" x14ac:dyDescent="0.45">
      <c r="A2621" s="3">
        <v>2615</v>
      </c>
      <c r="B2621" s="9">
        <f t="shared" si="164"/>
        <v>0.99998181773941852</v>
      </c>
      <c r="C2621" s="3">
        <f t="shared" si="163"/>
        <v>4441519.2416714011</v>
      </c>
      <c r="D2621" s="3">
        <f t="shared" si="165"/>
        <v>0.11712188925594091</v>
      </c>
      <c r="E2621" s="8">
        <f t="shared" si="166"/>
        <v>373.57142857142856</v>
      </c>
    </row>
    <row r="2622" spans="1:5" ht="18.5" x14ac:dyDescent="0.45">
      <c r="A2622" s="3">
        <v>2616</v>
      </c>
      <c r="B2622" s="9">
        <f t="shared" si="164"/>
        <v>0.99998184406239798</v>
      </c>
      <c r="C2622" s="3">
        <f t="shared" si="163"/>
        <v>4441519.3585875472</v>
      </c>
      <c r="D2622" s="3">
        <f t="shared" si="165"/>
        <v>0.11691614612936974</v>
      </c>
      <c r="E2622" s="8">
        <f t="shared" si="166"/>
        <v>373.71428571428572</v>
      </c>
    </row>
    <row r="2623" spans="1:5" ht="18.5" x14ac:dyDescent="0.45">
      <c r="A2623" s="3">
        <v>2617</v>
      </c>
      <c r="B2623" s="9">
        <f t="shared" si="164"/>
        <v>0.99998187033915154</v>
      </c>
      <c r="C2623" s="3">
        <f t="shared" si="163"/>
        <v>4441519.4752983758</v>
      </c>
      <c r="D2623" s="3">
        <f t="shared" si="165"/>
        <v>0.11671082861721516</v>
      </c>
      <c r="E2623" s="8">
        <f t="shared" si="166"/>
        <v>373.85714285714283</v>
      </c>
    </row>
    <row r="2624" spans="1:5" ht="18.5" x14ac:dyDescent="0.45">
      <c r="A2624" s="3">
        <v>2618</v>
      </c>
      <c r="B2624" s="9">
        <f t="shared" si="164"/>
        <v>0.9999818965697751</v>
      </c>
      <c r="C2624" s="3">
        <f t="shared" si="163"/>
        <v>4441519.5918043135</v>
      </c>
      <c r="D2624" s="3">
        <f t="shared" si="165"/>
        <v>0.11650593765079975</v>
      </c>
      <c r="E2624" s="8">
        <f t="shared" si="166"/>
        <v>374</v>
      </c>
    </row>
    <row r="2625" spans="1:5" ht="18.5" x14ac:dyDescent="0.45">
      <c r="A2625" s="3">
        <v>2619</v>
      </c>
      <c r="B2625" s="9">
        <f t="shared" si="164"/>
        <v>0.99998192275436426</v>
      </c>
      <c r="C2625" s="3">
        <f t="shared" si="163"/>
        <v>4441519.7081057839</v>
      </c>
      <c r="D2625" s="3">
        <f t="shared" si="165"/>
        <v>0.1163014704361558</v>
      </c>
      <c r="E2625" s="8">
        <f t="shared" si="166"/>
        <v>374.14285714285717</v>
      </c>
    </row>
    <row r="2626" spans="1:5" ht="18.5" x14ac:dyDescent="0.45">
      <c r="A2626" s="3">
        <v>2620</v>
      </c>
      <c r="B2626" s="9">
        <f t="shared" si="164"/>
        <v>0.99998194889301451</v>
      </c>
      <c r="C2626" s="3">
        <f t="shared" si="163"/>
        <v>4441519.8242032137</v>
      </c>
      <c r="D2626" s="3">
        <f t="shared" si="165"/>
        <v>0.11609742976725101</v>
      </c>
      <c r="E2626" s="8">
        <f t="shared" si="166"/>
        <v>374.28571428571428</v>
      </c>
    </row>
    <row r="2627" spans="1:5" ht="18.5" x14ac:dyDescent="0.45">
      <c r="A2627" s="3">
        <v>2621</v>
      </c>
      <c r="B2627" s="9">
        <f t="shared" si="164"/>
        <v>0.99998197498582098</v>
      </c>
      <c r="C2627" s="3">
        <f t="shared" si="163"/>
        <v>4441519.9400970228</v>
      </c>
      <c r="D2627" s="3">
        <f t="shared" si="165"/>
        <v>0.11589380912482738</v>
      </c>
      <c r="E2627" s="8">
        <f t="shared" si="166"/>
        <v>374.42857142857144</v>
      </c>
    </row>
    <row r="2628" spans="1:5" ht="18.5" x14ac:dyDescent="0.45">
      <c r="A2628" s="3">
        <v>2622</v>
      </c>
      <c r="B2628" s="9">
        <f t="shared" si="164"/>
        <v>0.99998200103287871</v>
      </c>
      <c r="C2628" s="3">
        <f t="shared" si="163"/>
        <v>4441520.0557876341</v>
      </c>
      <c r="D2628" s="3">
        <f t="shared" si="165"/>
        <v>0.11569061130285263</v>
      </c>
      <c r="E2628" s="8">
        <f t="shared" si="166"/>
        <v>374.57142857142856</v>
      </c>
    </row>
    <row r="2629" spans="1:5" ht="18.5" x14ac:dyDescent="0.45">
      <c r="A2629" s="3">
        <v>2623</v>
      </c>
      <c r="B2629" s="9">
        <f t="shared" si="164"/>
        <v>0.99998202703428241</v>
      </c>
      <c r="C2629" s="3">
        <f t="shared" si="163"/>
        <v>4441520.1712754685</v>
      </c>
      <c r="D2629" s="3">
        <f t="shared" si="165"/>
        <v>0.1154878344386816</v>
      </c>
      <c r="E2629" s="8">
        <f t="shared" si="166"/>
        <v>374.71428571428572</v>
      </c>
    </row>
    <row r="2630" spans="1:5" ht="18.5" x14ac:dyDescent="0.45">
      <c r="A2630" s="3">
        <v>2624</v>
      </c>
      <c r="B2630" s="9">
        <f t="shared" si="164"/>
        <v>0.99998205299012655</v>
      </c>
      <c r="C2630" s="3">
        <f t="shared" si="163"/>
        <v>4441520.2865609461</v>
      </c>
      <c r="D2630" s="3">
        <f t="shared" si="165"/>
        <v>0.11528547760099173</v>
      </c>
      <c r="E2630" s="8">
        <f t="shared" si="166"/>
        <v>374.85714285714283</v>
      </c>
    </row>
    <row r="2631" spans="1:5" ht="18.5" x14ac:dyDescent="0.45">
      <c r="A2631" s="3">
        <v>2625</v>
      </c>
      <c r="B2631" s="9">
        <f t="shared" si="164"/>
        <v>0.9999820789005055</v>
      </c>
      <c r="C2631" s="3">
        <f t="shared" si="163"/>
        <v>4441520.4016444851</v>
      </c>
      <c r="D2631" s="3">
        <f t="shared" si="165"/>
        <v>0.11508353892713785</v>
      </c>
      <c r="E2631" s="8">
        <f t="shared" si="166"/>
        <v>375</v>
      </c>
    </row>
    <row r="2632" spans="1:5" ht="18.5" x14ac:dyDescent="0.45">
      <c r="A2632" s="3">
        <v>2626</v>
      </c>
      <c r="B2632" s="9">
        <f t="shared" si="164"/>
        <v>0.9999821047655133</v>
      </c>
      <c r="C2632" s="3">
        <f t="shared" ref="C2632:C2695" si="167">$E$3*B2632</f>
        <v>4441520.5165265035</v>
      </c>
      <c r="D2632" s="3">
        <f t="shared" si="165"/>
        <v>0.11488201841711998</v>
      </c>
      <c r="E2632" s="8">
        <f t="shared" si="166"/>
        <v>375.14285714285717</v>
      </c>
    </row>
    <row r="2633" spans="1:5" ht="18.5" x14ac:dyDescent="0.45">
      <c r="A2633" s="3">
        <v>2627</v>
      </c>
      <c r="B2633" s="9">
        <f t="shared" si="164"/>
        <v>0.99998213058524377</v>
      </c>
      <c r="C2633" s="3">
        <f t="shared" si="167"/>
        <v>4441520.6312074186</v>
      </c>
      <c r="D2633" s="3">
        <f t="shared" si="165"/>
        <v>0.11468091513961554</v>
      </c>
      <c r="E2633" s="8">
        <f t="shared" si="166"/>
        <v>375.28571428571428</v>
      </c>
    </row>
    <row r="2634" spans="1:5" ht="18.5" x14ac:dyDescent="0.45">
      <c r="A2634" s="3">
        <v>2628</v>
      </c>
      <c r="B2634" s="9">
        <f t="shared" si="164"/>
        <v>0.99998215635979049</v>
      </c>
      <c r="C2634" s="3">
        <f t="shared" si="167"/>
        <v>4441520.7456876459</v>
      </c>
      <c r="D2634" s="3">
        <f t="shared" si="165"/>
        <v>0.11448022723197937</v>
      </c>
      <c r="E2634" s="8">
        <f t="shared" si="166"/>
        <v>375.42857142857144</v>
      </c>
    </row>
    <row r="2635" spans="1:5" ht="18.5" x14ac:dyDescent="0.45">
      <c r="A2635" s="3">
        <v>2629</v>
      </c>
      <c r="B2635" s="9">
        <f t="shared" si="164"/>
        <v>0.99998218208924694</v>
      </c>
      <c r="C2635" s="3">
        <f t="shared" si="167"/>
        <v>4441520.8599675996</v>
      </c>
      <c r="D2635" s="3">
        <f t="shared" si="165"/>
        <v>0.11427995376288891</v>
      </c>
      <c r="E2635" s="8">
        <f t="shared" si="166"/>
        <v>375.57142857142856</v>
      </c>
    </row>
    <row r="2636" spans="1:5" ht="18.5" x14ac:dyDescent="0.45">
      <c r="A2636" s="3">
        <v>2630</v>
      </c>
      <c r="B2636" s="9">
        <f t="shared" si="164"/>
        <v>0.99998220777370617</v>
      </c>
      <c r="C2636" s="3">
        <f t="shared" si="167"/>
        <v>4441520.9740476934</v>
      </c>
      <c r="D2636" s="3">
        <f t="shared" si="165"/>
        <v>0.11408009380102158</v>
      </c>
      <c r="E2636" s="8">
        <f t="shared" si="166"/>
        <v>375.71428571428572</v>
      </c>
    </row>
    <row r="2637" spans="1:5" ht="18.5" x14ac:dyDescent="0.45">
      <c r="A2637" s="3">
        <v>2631</v>
      </c>
      <c r="B2637" s="9">
        <f t="shared" si="164"/>
        <v>0.9999822334132612</v>
      </c>
      <c r="C2637" s="3">
        <f t="shared" si="167"/>
        <v>4441521.0879283408</v>
      </c>
      <c r="D2637" s="3">
        <f t="shared" si="165"/>
        <v>0.11388064734637737</v>
      </c>
      <c r="E2637" s="8">
        <f t="shared" si="166"/>
        <v>375.85714285714283</v>
      </c>
    </row>
    <row r="2638" spans="1:5" ht="18.5" x14ac:dyDescent="0.45">
      <c r="A2638" s="3">
        <v>2632</v>
      </c>
      <c r="B2638" s="9">
        <f t="shared" si="164"/>
        <v>0.99998225900800486</v>
      </c>
      <c r="C2638" s="3">
        <f t="shared" si="167"/>
        <v>4441521.2016099542</v>
      </c>
      <c r="D2638" s="3">
        <f t="shared" si="165"/>
        <v>0.11368161346763372</v>
      </c>
      <c r="E2638" s="8">
        <f t="shared" si="166"/>
        <v>376</v>
      </c>
    </row>
    <row r="2639" spans="1:5" ht="18.5" x14ac:dyDescent="0.45">
      <c r="A2639" s="3">
        <v>2633</v>
      </c>
      <c r="B2639" s="9">
        <f t="shared" si="164"/>
        <v>0.9999822845580294</v>
      </c>
      <c r="C2639" s="3">
        <f t="shared" si="167"/>
        <v>4441521.3150929436</v>
      </c>
      <c r="D2639" s="3">
        <f t="shared" si="165"/>
        <v>0.11348298937082291</v>
      </c>
      <c r="E2639" s="8">
        <f t="shared" si="166"/>
        <v>376.14285714285717</v>
      </c>
    </row>
    <row r="2640" spans="1:5" ht="18.5" x14ac:dyDescent="0.45">
      <c r="A2640" s="3">
        <v>2634</v>
      </c>
      <c r="B2640" s="9">
        <f t="shared" si="164"/>
        <v>0.9999823100634273</v>
      </c>
      <c r="C2640" s="3">
        <f t="shared" si="167"/>
        <v>4441521.4283777187</v>
      </c>
      <c r="D2640" s="3">
        <f t="shared" si="165"/>
        <v>0.11328477505594492</v>
      </c>
      <c r="E2640" s="8">
        <f t="shared" si="166"/>
        <v>376.28571428571428</v>
      </c>
    </row>
    <row r="2641" spans="1:5" ht="18.5" x14ac:dyDescent="0.45">
      <c r="A2641" s="3">
        <v>2635</v>
      </c>
      <c r="B2641" s="9">
        <f t="shared" si="164"/>
        <v>0.99998233552429061</v>
      </c>
      <c r="C2641" s="3">
        <f t="shared" si="167"/>
        <v>4441521.5414646892</v>
      </c>
      <c r="D2641" s="3">
        <f t="shared" si="165"/>
        <v>0.11308697052299976</v>
      </c>
      <c r="E2641" s="8">
        <f t="shared" si="166"/>
        <v>376.42857142857144</v>
      </c>
    </row>
    <row r="2642" spans="1:5" ht="18.5" x14ac:dyDescent="0.45">
      <c r="A2642" s="3">
        <v>2636</v>
      </c>
      <c r="B2642" s="9">
        <f t="shared" si="164"/>
        <v>0.99998236094071102</v>
      </c>
      <c r="C2642" s="3">
        <f t="shared" si="167"/>
        <v>4441521.6543542622</v>
      </c>
      <c r="D2642" s="3">
        <f t="shared" si="165"/>
        <v>0.11288957297801971</v>
      </c>
      <c r="E2642" s="8">
        <f t="shared" si="166"/>
        <v>376.57142857142856</v>
      </c>
    </row>
    <row r="2643" spans="1:5" ht="18.5" x14ac:dyDescent="0.45">
      <c r="A2643" s="3">
        <v>2637</v>
      </c>
      <c r="B2643" s="9">
        <f t="shared" si="164"/>
        <v>0.99998238631278025</v>
      </c>
      <c r="C2643" s="3">
        <f t="shared" si="167"/>
        <v>4441521.7670468446</v>
      </c>
      <c r="D2643" s="3">
        <f t="shared" si="165"/>
        <v>0.11269258242100477</v>
      </c>
      <c r="E2643" s="8">
        <f t="shared" si="166"/>
        <v>376.71428571428572</v>
      </c>
    </row>
    <row r="2644" spans="1:5" ht="18.5" x14ac:dyDescent="0.45">
      <c r="A2644" s="3">
        <v>2638</v>
      </c>
      <c r="B2644" s="9">
        <f t="shared" si="164"/>
        <v>0.99998241164058965</v>
      </c>
      <c r="C2644" s="3">
        <f t="shared" si="167"/>
        <v>4441521.8795428434</v>
      </c>
      <c r="D2644" s="3">
        <f t="shared" si="165"/>
        <v>0.11249599885195494</v>
      </c>
      <c r="E2644" s="8">
        <f t="shared" si="166"/>
        <v>376.85714285714283</v>
      </c>
    </row>
    <row r="2645" spans="1:5" ht="18.5" x14ac:dyDescent="0.45">
      <c r="A2645" s="3">
        <v>2639</v>
      </c>
      <c r="B2645" s="9">
        <f t="shared" si="164"/>
        <v>0.9999824369242305</v>
      </c>
      <c r="C2645" s="3">
        <f t="shared" si="167"/>
        <v>4441521.991842662</v>
      </c>
      <c r="D2645" s="3">
        <f t="shared" si="165"/>
        <v>0.11229981854557991</v>
      </c>
      <c r="E2645" s="8">
        <f t="shared" si="166"/>
        <v>377</v>
      </c>
    </row>
    <row r="2646" spans="1:5" ht="18.5" x14ac:dyDescent="0.45">
      <c r="A2646" s="3">
        <v>2640</v>
      </c>
      <c r="B2646" s="9">
        <f t="shared" si="164"/>
        <v>0.99998246216379372</v>
      </c>
      <c r="C2646" s="3">
        <f t="shared" si="167"/>
        <v>4441522.1039467063</v>
      </c>
      <c r="D2646" s="3">
        <f t="shared" si="165"/>
        <v>0.11210404429584742</v>
      </c>
      <c r="E2646" s="8">
        <f t="shared" si="166"/>
        <v>377.14285714285717</v>
      </c>
    </row>
    <row r="2647" spans="1:5" ht="18.5" x14ac:dyDescent="0.45">
      <c r="A2647" s="3">
        <v>2641</v>
      </c>
      <c r="B2647" s="9">
        <f t="shared" ref="B2647:B2710" si="168">LOGNORMDIST(A2647,$A$3,$B$3)</f>
        <v>0.99998248735937012</v>
      </c>
      <c r="C2647" s="3">
        <f t="shared" si="167"/>
        <v>4441522.2158553787</v>
      </c>
      <c r="D2647" s="3">
        <f t="shared" ref="D2647:D2710" si="169">C2647-C2646</f>
        <v>0.11190867237746716</v>
      </c>
      <c r="E2647" s="8">
        <f t="shared" ref="E2647:E2710" si="170">A2647/7</f>
        <v>377.28571428571428</v>
      </c>
    </row>
    <row r="2648" spans="1:5" ht="18.5" x14ac:dyDescent="0.45">
      <c r="A2648" s="3">
        <v>2642</v>
      </c>
      <c r="B2648" s="9">
        <f t="shared" si="168"/>
        <v>0.99998251251105008</v>
      </c>
      <c r="C2648" s="3">
        <f t="shared" si="167"/>
        <v>4441522.3275690796</v>
      </c>
      <c r="D2648" s="3">
        <f t="shared" si="169"/>
        <v>0.11171370092779398</v>
      </c>
      <c r="E2648" s="8">
        <f t="shared" si="170"/>
        <v>377.42857142857144</v>
      </c>
    </row>
    <row r="2649" spans="1:5" ht="18.5" x14ac:dyDescent="0.45">
      <c r="A2649" s="3">
        <v>2643</v>
      </c>
      <c r="B2649" s="9">
        <f t="shared" si="168"/>
        <v>0.99998253761892397</v>
      </c>
      <c r="C2649" s="3">
        <f t="shared" si="167"/>
        <v>4441522.4390882123</v>
      </c>
      <c r="D2649" s="3">
        <f t="shared" si="169"/>
        <v>0.11151913274079561</v>
      </c>
      <c r="E2649" s="8">
        <f t="shared" si="170"/>
        <v>377.57142857142856</v>
      </c>
    </row>
    <row r="2650" spans="1:5" ht="18.5" x14ac:dyDescent="0.45">
      <c r="A2650" s="3">
        <v>2644</v>
      </c>
      <c r="B2650" s="9">
        <f t="shared" si="168"/>
        <v>0.99998256268308194</v>
      </c>
      <c r="C2650" s="3">
        <f t="shared" si="167"/>
        <v>4441522.5504131764</v>
      </c>
      <c r="D2650" s="3">
        <f t="shared" si="169"/>
        <v>0.11132496409118176</v>
      </c>
      <c r="E2650" s="8">
        <f t="shared" si="170"/>
        <v>377.71428571428572</v>
      </c>
    </row>
    <row r="2651" spans="1:5" ht="18.5" x14ac:dyDescent="0.45">
      <c r="A2651" s="3">
        <v>2645</v>
      </c>
      <c r="B2651" s="9">
        <f t="shared" si="168"/>
        <v>0.99998258770361392</v>
      </c>
      <c r="C2651" s="3">
        <f t="shared" si="167"/>
        <v>4441522.6615443714</v>
      </c>
      <c r="D2651" s="3">
        <f t="shared" si="169"/>
        <v>0.11113119497895241</v>
      </c>
      <c r="E2651" s="8">
        <f t="shared" si="170"/>
        <v>377.85714285714283</v>
      </c>
    </row>
    <row r="2652" spans="1:5" ht="18.5" x14ac:dyDescent="0.45">
      <c r="A2652" s="3">
        <v>2646</v>
      </c>
      <c r="B2652" s="9">
        <f t="shared" si="168"/>
        <v>0.99998261268060951</v>
      </c>
      <c r="C2652" s="3">
        <f t="shared" si="167"/>
        <v>4441522.7724821949</v>
      </c>
      <c r="D2652" s="3">
        <f t="shared" si="169"/>
        <v>0.11093782354146242</v>
      </c>
      <c r="E2652" s="8">
        <f t="shared" si="170"/>
        <v>378</v>
      </c>
    </row>
    <row r="2653" spans="1:5" ht="18.5" x14ac:dyDescent="0.45">
      <c r="A2653" s="3">
        <v>2647</v>
      </c>
      <c r="B2653" s="9">
        <f t="shared" si="168"/>
        <v>0.99998263761415818</v>
      </c>
      <c r="C2653" s="3">
        <f t="shared" si="167"/>
        <v>4441522.8832270447</v>
      </c>
      <c r="D2653" s="3">
        <f t="shared" si="169"/>
        <v>0.1107448497787118</v>
      </c>
      <c r="E2653" s="8">
        <f t="shared" si="170"/>
        <v>378.14285714285717</v>
      </c>
    </row>
    <row r="2654" spans="1:5" ht="18.5" x14ac:dyDescent="0.45">
      <c r="A2654" s="3">
        <v>2648</v>
      </c>
      <c r="B2654" s="9">
        <f t="shared" si="168"/>
        <v>0.9999826625043492</v>
      </c>
      <c r="C2654" s="3">
        <f t="shared" si="167"/>
        <v>4441522.9937793175</v>
      </c>
      <c r="D2654" s="3">
        <f t="shared" si="169"/>
        <v>0.11055227275937796</v>
      </c>
      <c r="E2654" s="8">
        <f t="shared" si="170"/>
        <v>378.28571428571428</v>
      </c>
    </row>
    <row r="2655" spans="1:5" ht="18.5" x14ac:dyDescent="0.45">
      <c r="A2655" s="3">
        <v>2649</v>
      </c>
      <c r="B2655" s="9">
        <f t="shared" si="168"/>
        <v>0.9999826873512716</v>
      </c>
      <c r="C2655" s="3">
        <f t="shared" si="167"/>
        <v>4441523.1041394081</v>
      </c>
      <c r="D2655" s="3">
        <f t="shared" si="169"/>
        <v>0.11036009062081575</v>
      </c>
      <c r="E2655" s="8">
        <f t="shared" si="170"/>
        <v>378.42857142857144</v>
      </c>
    </row>
    <row r="2656" spans="1:5" ht="18.5" x14ac:dyDescent="0.45">
      <c r="A2656" s="3">
        <v>2650</v>
      </c>
      <c r="B2656" s="9">
        <f t="shared" si="168"/>
        <v>0.99998271215501422</v>
      </c>
      <c r="C2656" s="3">
        <f t="shared" si="167"/>
        <v>4441523.2143077115</v>
      </c>
      <c r="D2656" s="3">
        <f t="shared" si="169"/>
        <v>0.11016830336302519</v>
      </c>
      <c r="E2656" s="8">
        <f t="shared" si="170"/>
        <v>378.57142857142856</v>
      </c>
    </row>
    <row r="2657" spans="1:5" ht="18.5" x14ac:dyDescent="0.45">
      <c r="A2657" s="3">
        <v>2651</v>
      </c>
      <c r="B2657" s="9">
        <f t="shared" si="168"/>
        <v>0.99998273691566564</v>
      </c>
      <c r="C2657" s="3">
        <f t="shared" si="167"/>
        <v>4441523.3242846206</v>
      </c>
      <c r="D2657" s="3">
        <f t="shared" si="169"/>
        <v>0.10997690912336111</v>
      </c>
      <c r="E2657" s="8">
        <f t="shared" si="170"/>
        <v>378.71428571428572</v>
      </c>
    </row>
    <row r="2658" spans="1:5" ht="18.5" x14ac:dyDescent="0.45">
      <c r="A2658" s="3">
        <v>2652</v>
      </c>
      <c r="B2658" s="9">
        <f t="shared" si="168"/>
        <v>0.99998276163331423</v>
      </c>
      <c r="C2658" s="3">
        <f t="shared" si="167"/>
        <v>4441523.4340705285</v>
      </c>
      <c r="D2658" s="3">
        <f t="shared" si="169"/>
        <v>0.10978590790182352</v>
      </c>
      <c r="E2658" s="8">
        <f t="shared" si="170"/>
        <v>378.85714285714283</v>
      </c>
    </row>
    <row r="2659" spans="1:5" ht="18.5" x14ac:dyDescent="0.45">
      <c r="A2659" s="3">
        <v>2653</v>
      </c>
      <c r="B2659" s="9">
        <f t="shared" si="168"/>
        <v>0.99998278630804827</v>
      </c>
      <c r="C2659" s="3">
        <f t="shared" si="167"/>
        <v>4441523.5436658273</v>
      </c>
      <c r="D2659" s="3">
        <f t="shared" si="169"/>
        <v>0.10959529876708984</v>
      </c>
      <c r="E2659" s="8">
        <f t="shared" si="170"/>
        <v>379</v>
      </c>
    </row>
    <row r="2660" spans="1:5" ht="18.5" x14ac:dyDescent="0.45">
      <c r="A2660" s="3">
        <v>2654</v>
      </c>
      <c r="B2660" s="9">
        <f t="shared" si="168"/>
        <v>0.99998281093995567</v>
      </c>
      <c r="C2660" s="3">
        <f t="shared" si="167"/>
        <v>4441523.6530709071</v>
      </c>
      <c r="D2660" s="3">
        <f t="shared" si="169"/>
        <v>0.10940507985651493</v>
      </c>
      <c r="E2660" s="8">
        <f t="shared" si="170"/>
        <v>379.14285714285717</v>
      </c>
    </row>
    <row r="2661" spans="1:5" ht="18.5" x14ac:dyDescent="0.45">
      <c r="A2661" s="3">
        <v>2655</v>
      </c>
      <c r="B2661" s="9">
        <f t="shared" si="168"/>
        <v>0.99998283552912437</v>
      </c>
      <c r="C2661" s="3">
        <f t="shared" si="167"/>
        <v>4441523.7622861592</v>
      </c>
      <c r="D2661" s="3">
        <f t="shared" si="169"/>
        <v>0.10921525210142136</v>
      </c>
      <c r="E2661" s="8">
        <f t="shared" si="170"/>
        <v>379.28571428571428</v>
      </c>
    </row>
    <row r="2662" spans="1:5" ht="18.5" x14ac:dyDescent="0.45">
      <c r="A2662" s="3">
        <v>2656</v>
      </c>
      <c r="B2662" s="9">
        <f t="shared" si="168"/>
        <v>0.99998286007564174</v>
      </c>
      <c r="C2662" s="3">
        <f t="shared" si="167"/>
        <v>4441523.8713119701</v>
      </c>
      <c r="D2662" s="3">
        <f t="shared" si="169"/>
        <v>0.10902581084519625</v>
      </c>
      <c r="E2662" s="8">
        <f t="shared" si="170"/>
        <v>379.42857142857144</v>
      </c>
    </row>
    <row r="2663" spans="1:5" ht="18.5" x14ac:dyDescent="0.45">
      <c r="A2663" s="3">
        <v>2657</v>
      </c>
      <c r="B2663" s="9">
        <f t="shared" si="168"/>
        <v>0.99998288457959517</v>
      </c>
      <c r="C2663" s="3">
        <f t="shared" si="167"/>
        <v>4441523.9801487299</v>
      </c>
      <c r="D2663" s="3">
        <f t="shared" si="169"/>
        <v>0.1088367598131299</v>
      </c>
      <c r="E2663" s="8">
        <f t="shared" si="170"/>
        <v>379.57142857142856</v>
      </c>
    </row>
    <row r="2664" spans="1:5" ht="18.5" x14ac:dyDescent="0.45">
      <c r="A2664" s="3">
        <v>2658</v>
      </c>
      <c r="B2664" s="9">
        <f t="shared" si="168"/>
        <v>0.9999829090410719</v>
      </c>
      <c r="C2664" s="3">
        <f t="shared" si="167"/>
        <v>4441524.0887968251</v>
      </c>
      <c r="D2664" s="3">
        <f t="shared" si="169"/>
        <v>0.10864809527993202</v>
      </c>
      <c r="E2664" s="8">
        <f t="shared" si="170"/>
        <v>379.71428571428572</v>
      </c>
    </row>
    <row r="2665" spans="1:5" ht="18.5" x14ac:dyDescent="0.45">
      <c r="A2665" s="3">
        <v>2659</v>
      </c>
      <c r="B2665" s="9">
        <f t="shared" si="168"/>
        <v>0.99998293346015876</v>
      </c>
      <c r="C2665" s="3">
        <f t="shared" si="167"/>
        <v>4441524.1972566415</v>
      </c>
      <c r="D2665" s="3">
        <f t="shared" si="169"/>
        <v>0.10845981631428003</v>
      </c>
      <c r="E2665" s="8">
        <f t="shared" si="170"/>
        <v>379.85714285714283</v>
      </c>
    </row>
    <row r="2666" spans="1:5" ht="18.5" x14ac:dyDescent="0.45">
      <c r="A2666" s="3">
        <v>2660</v>
      </c>
      <c r="B2666" s="9">
        <f t="shared" si="168"/>
        <v>0.99998295783694269</v>
      </c>
      <c r="C2666" s="3">
        <f t="shared" si="167"/>
        <v>4441524.3055285644</v>
      </c>
      <c r="D2666" s="3">
        <f t="shared" si="169"/>
        <v>0.10827192291617393</v>
      </c>
      <c r="E2666" s="8">
        <f t="shared" si="170"/>
        <v>380</v>
      </c>
    </row>
    <row r="2667" spans="1:5" ht="18.5" x14ac:dyDescent="0.45">
      <c r="A2667" s="3">
        <v>2661</v>
      </c>
      <c r="B2667" s="9">
        <f t="shared" si="168"/>
        <v>0.99998298217151005</v>
      </c>
      <c r="C2667" s="3">
        <f t="shared" si="167"/>
        <v>4441524.4136129795</v>
      </c>
      <c r="D2667" s="3">
        <f t="shared" si="169"/>
        <v>0.10808441508561373</v>
      </c>
      <c r="E2667" s="8">
        <f t="shared" si="170"/>
        <v>380.14285714285717</v>
      </c>
    </row>
    <row r="2668" spans="1:5" ht="18.5" x14ac:dyDescent="0.45">
      <c r="A2668" s="3">
        <v>2662</v>
      </c>
      <c r="B2668" s="9">
        <f t="shared" si="168"/>
        <v>0.99998300646394711</v>
      </c>
      <c r="C2668" s="3">
        <f t="shared" si="167"/>
        <v>4441524.5215102676</v>
      </c>
      <c r="D2668" s="3">
        <f t="shared" si="169"/>
        <v>0.10789728816598654</v>
      </c>
      <c r="E2668" s="8">
        <f t="shared" si="170"/>
        <v>380.28571428571428</v>
      </c>
    </row>
    <row r="2669" spans="1:5" ht="18.5" x14ac:dyDescent="0.45">
      <c r="A2669" s="3">
        <v>2663</v>
      </c>
      <c r="B2669" s="9">
        <f t="shared" si="168"/>
        <v>0.99998303071434025</v>
      </c>
      <c r="C2669" s="3">
        <f t="shared" si="167"/>
        <v>4441524.6292208135</v>
      </c>
      <c r="D2669" s="3">
        <f t="shared" si="169"/>
        <v>0.10771054588258266</v>
      </c>
      <c r="E2669" s="8">
        <f t="shared" si="170"/>
        <v>380.42857142857144</v>
      </c>
    </row>
    <row r="2670" spans="1:5" ht="18.5" x14ac:dyDescent="0.45">
      <c r="A2670" s="3">
        <v>2664</v>
      </c>
      <c r="B2670" s="9">
        <f t="shared" si="168"/>
        <v>0.99998305492277517</v>
      </c>
      <c r="C2670" s="3">
        <f t="shared" si="167"/>
        <v>4441524.736744998</v>
      </c>
      <c r="D2670" s="3">
        <f t="shared" si="169"/>
        <v>0.10752418451011181</v>
      </c>
      <c r="E2670" s="8">
        <f t="shared" si="170"/>
        <v>380.57142857142856</v>
      </c>
    </row>
    <row r="2671" spans="1:5" ht="18.5" x14ac:dyDescent="0.45">
      <c r="A2671" s="3">
        <v>2665</v>
      </c>
      <c r="B2671" s="9">
        <f t="shared" si="168"/>
        <v>0.9999830790893377</v>
      </c>
      <c r="C2671" s="3">
        <f t="shared" si="167"/>
        <v>4441524.8440832021</v>
      </c>
      <c r="D2671" s="3">
        <f t="shared" si="169"/>
        <v>0.10733820404857397</v>
      </c>
      <c r="E2671" s="8">
        <f t="shared" si="170"/>
        <v>380.71428571428572</v>
      </c>
    </row>
    <row r="2672" spans="1:5" ht="18.5" x14ac:dyDescent="0.45">
      <c r="A2672" s="3">
        <v>2666</v>
      </c>
      <c r="B2672" s="9">
        <f t="shared" si="168"/>
        <v>0.99998310321411343</v>
      </c>
      <c r="C2672" s="3">
        <f t="shared" si="167"/>
        <v>4441524.9512358066</v>
      </c>
      <c r="D2672" s="3">
        <f t="shared" si="169"/>
        <v>0.10715260449796915</v>
      </c>
      <c r="E2672" s="8">
        <f t="shared" si="170"/>
        <v>380.85714285714283</v>
      </c>
    </row>
    <row r="2673" spans="1:5" ht="18.5" x14ac:dyDescent="0.45">
      <c r="A2673" s="3">
        <v>2667</v>
      </c>
      <c r="B2673" s="9">
        <f t="shared" si="168"/>
        <v>0.99998312729718741</v>
      </c>
      <c r="C2673" s="3">
        <f t="shared" si="167"/>
        <v>4441525.0582031878</v>
      </c>
      <c r="D2673" s="3">
        <f t="shared" si="169"/>
        <v>0.10696738120168447</v>
      </c>
      <c r="E2673" s="8">
        <f t="shared" si="170"/>
        <v>381</v>
      </c>
    </row>
    <row r="2674" spans="1:5" ht="18.5" x14ac:dyDescent="0.45">
      <c r="A2674" s="3">
        <v>2668</v>
      </c>
      <c r="B2674" s="9">
        <f t="shared" si="168"/>
        <v>0.99998315133864502</v>
      </c>
      <c r="C2674" s="3">
        <f t="shared" si="167"/>
        <v>4441525.1649857257</v>
      </c>
      <c r="D2674" s="3">
        <f t="shared" si="169"/>
        <v>0.10678253788501024</v>
      </c>
      <c r="E2674" s="8">
        <f t="shared" si="170"/>
        <v>381.14285714285717</v>
      </c>
    </row>
    <row r="2675" spans="1:5" ht="18.5" x14ac:dyDescent="0.45">
      <c r="A2675" s="3">
        <v>2669</v>
      </c>
      <c r="B2675" s="9">
        <f t="shared" si="168"/>
        <v>0.99998317533857106</v>
      </c>
      <c r="C2675" s="3">
        <f t="shared" si="167"/>
        <v>4441525.2715837974</v>
      </c>
      <c r="D2675" s="3">
        <f t="shared" si="169"/>
        <v>0.10659807175397873</v>
      </c>
      <c r="E2675" s="8">
        <f t="shared" si="170"/>
        <v>381.28571428571428</v>
      </c>
    </row>
    <row r="2676" spans="1:5" ht="18.5" x14ac:dyDescent="0.45">
      <c r="A2676" s="3">
        <v>2670</v>
      </c>
      <c r="B2676" s="9">
        <f t="shared" si="168"/>
        <v>0.99998319929705026</v>
      </c>
      <c r="C2676" s="3">
        <f t="shared" si="167"/>
        <v>4441525.3779977784</v>
      </c>
      <c r="D2676" s="3">
        <f t="shared" si="169"/>
        <v>0.10641398094594479</v>
      </c>
      <c r="E2676" s="8">
        <f t="shared" si="170"/>
        <v>381.42857142857144</v>
      </c>
    </row>
    <row r="2677" spans="1:5" ht="18.5" x14ac:dyDescent="0.45">
      <c r="A2677" s="3">
        <v>2671</v>
      </c>
      <c r="B2677" s="9">
        <f t="shared" si="168"/>
        <v>0.99998322321416711</v>
      </c>
      <c r="C2677" s="3">
        <f t="shared" si="167"/>
        <v>4441525.4842280447</v>
      </c>
      <c r="D2677" s="3">
        <f t="shared" si="169"/>
        <v>0.10623026639223099</v>
      </c>
      <c r="E2677" s="8">
        <f t="shared" si="170"/>
        <v>381.57142857142856</v>
      </c>
    </row>
    <row r="2678" spans="1:5" ht="18.5" x14ac:dyDescent="0.45">
      <c r="A2678" s="3">
        <v>2672</v>
      </c>
      <c r="B2678" s="9">
        <f t="shared" si="168"/>
        <v>0.99998324709000597</v>
      </c>
      <c r="C2678" s="3">
        <f t="shared" si="167"/>
        <v>4441525.59027497</v>
      </c>
      <c r="D2678" s="3">
        <f t="shared" si="169"/>
        <v>0.10604692529886961</v>
      </c>
      <c r="E2678" s="8">
        <f t="shared" si="170"/>
        <v>381.71428571428572</v>
      </c>
    </row>
    <row r="2679" spans="1:5" ht="18.5" x14ac:dyDescent="0.45">
      <c r="A2679" s="3">
        <v>2673</v>
      </c>
      <c r="B2679" s="9">
        <f t="shared" si="168"/>
        <v>0.99998327092465089</v>
      </c>
      <c r="C2679" s="3">
        <f t="shared" si="167"/>
        <v>4441525.6961389296</v>
      </c>
      <c r="D2679" s="3">
        <f t="shared" si="169"/>
        <v>0.1058639595285058</v>
      </c>
      <c r="E2679" s="8">
        <f t="shared" si="170"/>
        <v>381.85714285714283</v>
      </c>
    </row>
    <row r="2680" spans="1:5" ht="18.5" x14ac:dyDescent="0.45">
      <c r="A2680" s="3">
        <v>2674</v>
      </c>
      <c r="B2680" s="9">
        <f t="shared" si="168"/>
        <v>0.99998329471818581</v>
      </c>
      <c r="C2680" s="3">
        <f t="shared" si="167"/>
        <v>4441525.801820294</v>
      </c>
      <c r="D2680" s="3">
        <f t="shared" si="169"/>
        <v>0.10568136442452669</v>
      </c>
      <c r="E2680" s="8">
        <f t="shared" si="170"/>
        <v>382</v>
      </c>
    </row>
    <row r="2681" spans="1:5" ht="18.5" x14ac:dyDescent="0.45">
      <c r="A2681" s="3">
        <v>2675</v>
      </c>
      <c r="B2681" s="9">
        <f t="shared" si="168"/>
        <v>0.99998331847069444</v>
      </c>
      <c r="C2681" s="3">
        <f t="shared" si="167"/>
        <v>4441525.9073194368</v>
      </c>
      <c r="D2681" s="3">
        <f t="shared" si="169"/>
        <v>0.1054991427809</v>
      </c>
      <c r="E2681" s="8">
        <f t="shared" si="170"/>
        <v>382.14285714285717</v>
      </c>
    </row>
    <row r="2682" spans="1:5" ht="18.5" x14ac:dyDescent="0.45">
      <c r="A2682" s="3">
        <v>2676</v>
      </c>
      <c r="B2682" s="9">
        <f t="shared" si="168"/>
        <v>0.99998334218226037</v>
      </c>
      <c r="C2682" s="3">
        <f t="shared" si="167"/>
        <v>4441526.0126367277</v>
      </c>
      <c r="D2682" s="3">
        <f t="shared" si="169"/>
        <v>0.10531729087233543</v>
      </c>
      <c r="E2682" s="8">
        <f t="shared" si="170"/>
        <v>382.28571428571428</v>
      </c>
    </row>
    <row r="2683" spans="1:5" ht="18.5" x14ac:dyDescent="0.45">
      <c r="A2683" s="3">
        <v>2677</v>
      </c>
      <c r="B2683" s="9">
        <f t="shared" si="168"/>
        <v>0.99998336585296688</v>
      </c>
      <c r="C2683" s="3">
        <f t="shared" si="167"/>
        <v>4441526.1177725373</v>
      </c>
      <c r="D2683" s="3">
        <f t="shared" si="169"/>
        <v>0.10513580963015556</v>
      </c>
      <c r="E2683" s="8">
        <f t="shared" si="170"/>
        <v>382.42857142857144</v>
      </c>
    </row>
    <row r="2684" spans="1:5" ht="18.5" x14ac:dyDescent="0.45">
      <c r="A2684" s="3">
        <v>2678</v>
      </c>
      <c r="B2684" s="9">
        <f t="shared" si="168"/>
        <v>0.99998338948289711</v>
      </c>
      <c r="C2684" s="3">
        <f t="shared" si="167"/>
        <v>4441526.2227272354</v>
      </c>
      <c r="D2684" s="3">
        <f t="shared" si="169"/>
        <v>0.10495469812303782</v>
      </c>
      <c r="E2684" s="8">
        <f t="shared" si="170"/>
        <v>382.57142857142856</v>
      </c>
    </row>
    <row r="2685" spans="1:5" ht="18.5" x14ac:dyDescent="0.45">
      <c r="A2685" s="3">
        <v>2679</v>
      </c>
      <c r="B2685" s="9">
        <f t="shared" si="168"/>
        <v>0.99998341307213401</v>
      </c>
      <c r="C2685" s="3">
        <f t="shared" si="167"/>
        <v>4441526.3275011908</v>
      </c>
      <c r="D2685" s="3">
        <f t="shared" si="169"/>
        <v>0.10477395541965961</v>
      </c>
      <c r="E2685" s="8">
        <f t="shared" si="170"/>
        <v>382.71428571428572</v>
      </c>
    </row>
    <row r="2686" spans="1:5" ht="18.5" x14ac:dyDescent="0.45">
      <c r="A2686" s="3">
        <v>2680</v>
      </c>
      <c r="B2686" s="9">
        <f t="shared" si="168"/>
        <v>0.99998343662076017</v>
      </c>
      <c r="C2686" s="3">
        <f t="shared" si="167"/>
        <v>4441526.4320947686</v>
      </c>
      <c r="D2686" s="3">
        <f t="shared" si="169"/>
        <v>0.10459357779473066</v>
      </c>
      <c r="E2686" s="8">
        <f t="shared" si="170"/>
        <v>382.85714285714283</v>
      </c>
    </row>
    <row r="2687" spans="1:5" ht="18.5" x14ac:dyDescent="0.45">
      <c r="A2687" s="3">
        <v>2681</v>
      </c>
      <c r="B2687" s="9">
        <f t="shared" si="168"/>
        <v>0.9999834601288583</v>
      </c>
      <c r="C2687" s="3">
        <f t="shared" si="167"/>
        <v>4441526.5365083367</v>
      </c>
      <c r="D2687" s="3">
        <f t="shared" si="169"/>
        <v>0.10441356804221869</v>
      </c>
      <c r="E2687" s="8">
        <f t="shared" si="170"/>
        <v>383</v>
      </c>
    </row>
    <row r="2688" spans="1:5" ht="18.5" x14ac:dyDescent="0.45">
      <c r="A2688" s="3">
        <v>2682</v>
      </c>
      <c r="B2688" s="9">
        <f t="shared" si="168"/>
        <v>0.99998348359651079</v>
      </c>
      <c r="C2688" s="3">
        <f t="shared" si="167"/>
        <v>4441526.6407422619</v>
      </c>
      <c r="D2688" s="3">
        <f t="shared" si="169"/>
        <v>0.10423392523080111</v>
      </c>
      <c r="E2688" s="8">
        <f t="shared" si="170"/>
        <v>383.14285714285717</v>
      </c>
    </row>
    <row r="2689" spans="1:5" ht="18.5" x14ac:dyDescent="0.45">
      <c r="A2689" s="3">
        <v>2683</v>
      </c>
      <c r="B2689" s="9">
        <f t="shared" si="168"/>
        <v>0.99998350702379957</v>
      </c>
      <c r="C2689" s="3">
        <f t="shared" si="167"/>
        <v>4441526.7447969085</v>
      </c>
      <c r="D2689" s="3">
        <f t="shared" si="169"/>
        <v>0.1040546465665102</v>
      </c>
      <c r="E2689" s="8">
        <f t="shared" si="170"/>
        <v>383.28571428571428</v>
      </c>
    </row>
    <row r="2690" spans="1:5" ht="18.5" x14ac:dyDescent="0.45">
      <c r="A2690" s="3">
        <v>2684</v>
      </c>
      <c r="B2690" s="9">
        <f t="shared" si="168"/>
        <v>0.99998353041080679</v>
      </c>
      <c r="C2690" s="3">
        <f t="shared" si="167"/>
        <v>4441526.8486726396</v>
      </c>
      <c r="D2690" s="3">
        <f t="shared" si="169"/>
        <v>0.1038757311180234</v>
      </c>
      <c r="E2690" s="8">
        <f t="shared" si="170"/>
        <v>383.42857142857144</v>
      </c>
    </row>
    <row r="2691" spans="1:5" ht="18.5" x14ac:dyDescent="0.45">
      <c r="A2691" s="3">
        <v>2685</v>
      </c>
      <c r="B2691" s="9">
        <f t="shared" si="168"/>
        <v>0.99998355375761427</v>
      </c>
      <c r="C2691" s="3">
        <f t="shared" si="167"/>
        <v>4441526.9523698194</v>
      </c>
      <c r="D2691" s="3">
        <f t="shared" si="169"/>
        <v>0.10369717981666327</v>
      </c>
      <c r="E2691" s="8">
        <f t="shared" si="170"/>
        <v>383.57142857142856</v>
      </c>
    </row>
    <row r="2692" spans="1:5" ht="18.5" x14ac:dyDescent="0.45">
      <c r="A2692" s="3">
        <v>2686</v>
      </c>
      <c r="B2692" s="9">
        <f t="shared" si="168"/>
        <v>0.99998357706430341</v>
      </c>
      <c r="C2692" s="3">
        <f t="shared" si="167"/>
        <v>4441527.0558888102</v>
      </c>
      <c r="D2692" s="3">
        <f t="shared" si="169"/>
        <v>0.10351899079978466</v>
      </c>
      <c r="E2692" s="8">
        <f t="shared" si="170"/>
        <v>383.71428571428572</v>
      </c>
    </row>
    <row r="2693" spans="1:5" ht="18.5" x14ac:dyDescent="0.45">
      <c r="A2693" s="3">
        <v>2687</v>
      </c>
      <c r="B2693" s="9">
        <f t="shared" si="168"/>
        <v>0.99998360033095557</v>
      </c>
      <c r="C2693" s="3">
        <f t="shared" si="167"/>
        <v>4441527.1592299724</v>
      </c>
      <c r="D2693" s="3">
        <f t="shared" si="169"/>
        <v>0.10334116220474243</v>
      </c>
      <c r="E2693" s="8">
        <f t="shared" si="170"/>
        <v>383.85714285714283</v>
      </c>
    </row>
    <row r="2694" spans="1:5" ht="18.5" x14ac:dyDescent="0.45">
      <c r="A2694" s="3">
        <v>2688</v>
      </c>
      <c r="B2694" s="9">
        <f t="shared" si="168"/>
        <v>0.99998362355765213</v>
      </c>
      <c r="C2694" s="3">
        <f t="shared" si="167"/>
        <v>4441527.2623936674</v>
      </c>
      <c r="D2694" s="3">
        <f t="shared" si="169"/>
        <v>0.10316369496285915</v>
      </c>
      <c r="E2694" s="8">
        <f t="shared" si="170"/>
        <v>384</v>
      </c>
    </row>
    <row r="2695" spans="1:5" ht="18.5" x14ac:dyDescent="0.45">
      <c r="A2695" s="3">
        <v>2689</v>
      </c>
      <c r="B2695" s="9">
        <f t="shared" si="168"/>
        <v>0.99998364674447404</v>
      </c>
      <c r="C2695" s="3">
        <f t="shared" si="167"/>
        <v>4441527.3653802555</v>
      </c>
      <c r="D2695" s="3">
        <f t="shared" si="169"/>
        <v>0.10298658814281225</v>
      </c>
      <c r="E2695" s="8">
        <f t="shared" si="170"/>
        <v>384.14285714285717</v>
      </c>
    </row>
    <row r="2696" spans="1:5" ht="18.5" x14ac:dyDescent="0.45">
      <c r="A2696" s="3">
        <v>2690</v>
      </c>
      <c r="B2696" s="9">
        <f t="shared" si="168"/>
        <v>0.99998366989150211</v>
      </c>
      <c r="C2696" s="3">
        <f t="shared" ref="C2696:C2759" si="171">$E$3*B2696</f>
        <v>4441527.4681900954</v>
      </c>
      <c r="D2696" s="3">
        <f t="shared" si="169"/>
        <v>0.10280983988195658</v>
      </c>
      <c r="E2696" s="8">
        <f t="shared" si="170"/>
        <v>384.28571428571428</v>
      </c>
    </row>
    <row r="2697" spans="1:5" ht="18.5" x14ac:dyDescent="0.45">
      <c r="A2697" s="3">
        <v>2691</v>
      </c>
      <c r="B2697" s="9">
        <f t="shared" si="168"/>
        <v>0.99998369299881695</v>
      </c>
      <c r="C2697" s="3">
        <f t="shared" si="171"/>
        <v>4441527.5708235456</v>
      </c>
      <c r="D2697" s="3">
        <f t="shared" si="169"/>
        <v>0.10263345018029213</v>
      </c>
      <c r="E2697" s="8">
        <f t="shared" si="170"/>
        <v>384.42857142857144</v>
      </c>
    </row>
    <row r="2698" spans="1:5" ht="18.5" x14ac:dyDescent="0.45">
      <c r="A2698" s="3">
        <v>2692</v>
      </c>
      <c r="B2698" s="9">
        <f t="shared" si="168"/>
        <v>0.99998371606649894</v>
      </c>
      <c r="C2698" s="3">
        <f t="shared" si="171"/>
        <v>4441527.6732809618</v>
      </c>
      <c r="D2698" s="3">
        <f t="shared" si="169"/>
        <v>0.10245741624385118</v>
      </c>
      <c r="E2698" s="8">
        <f t="shared" si="170"/>
        <v>384.57142857142856</v>
      </c>
    </row>
    <row r="2699" spans="1:5" ht="18.5" x14ac:dyDescent="0.45">
      <c r="A2699" s="3">
        <v>2693</v>
      </c>
      <c r="B2699" s="9">
        <f t="shared" si="168"/>
        <v>0.99998373909462845</v>
      </c>
      <c r="C2699" s="3">
        <f t="shared" si="171"/>
        <v>4441527.7755627017</v>
      </c>
      <c r="D2699" s="3">
        <f t="shared" si="169"/>
        <v>0.10228173993527889</v>
      </c>
      <c r="E2699" s="8">
        <f t="shared" si="170"/>
        <v>384.71428571428572</v>
      </c>
    </row>
    <row r="2700" spans="1:5" ht="18.5" x14ac:dyDescent="0.45">
      <c r="A2700" s="3">
        <v>2694</v>
      </c>
      <c r="B2700" s="9">
        <f t="shared" si="168"/>
        <v>0.99998376208328543</v>
      </c>
      <c r="C2700" s="3">
        <f t="shared" si="171"/>
        <v>4441527.8776691202</v>
      </c>
      <c r="D2700" s="3">
        <f t="shared" si="169"/>
        <v>0.10210641846060753</v>
      </c>
      <c r="E2700" s="8">
        <f t="shared" si="170"/>
        <v>384.85714285714283</v>
      </c>
    </row>
    <row r="2701" spans="1:5" ht="18.5" x14ac:dyDescent="0.45">
      <c r="A2701" s="3">
        <v>2695</v>
      </c>
      <c r="B2701" s="9">
        <f t="shared" si="168"/>
        <v>0.99998378503254981</v>
      </c>
      <c r="C2701" s="3">
        <f t="shared" si="171"/>
        <v>4441527.979600573</v>
      </c>
      <c r="D2701" s="3">
        <f t="shared" si="169"/>
        <v>0.10193145275115967</v>
      </c>
      <c r="E2701" s="8">
        <f t="shared" si="170"/>
        <v>385</v>
      </c>
    </row>
    <row r="2702" spans="1:5" ht="18.5" x14ac:dyDescent="0.45">
      <c r="A2702" s="3">
        <v>2696</v>
      </c>
      <c r="B2702" s="9">
        <f t="shared" si="168"/>
        <v>0.9999838079425013</v>
      </c>
      <c r="C2702" s="3">
        <f t="shared" si="171"/>
        <v>4441528.0813574139</v>
      </c>
      <c r="D2702" s="3">
        <f t="shared" si="169"/>
        <v>0.10175684094429016</v>
      </c>
      <c r="E2702" s="8">
        <f t="shared" si="170"/>
        <v>385.14285714285717</v>
      </c>
    </row>
    <row r="2703" spans="1:5" ht="18.5" x14ac:dyDescent="0.45">
      <c r="A2703" s="3">
        <v>2697</v>
      </c>
      <c r="B2703" s="9">
        <f t="shared" si="168"/>
        <v>0.99998383081321929</v>
      </c>
      <c r="C2703" s="3">
        <f t="shared" si="171"/>
        <v>4441528.1829399951</v>
      </c>
      <c r="D2703" s="3">
        <f t="shared" si="169"/>
        <v>0.10158258117735386</v>
      </c>
      <c r="E2703" s="8">
        <f t="shared" si="170"/>
        <v>385.28571428571428</v>
      </c>
    </row>
    <row r="2704" spans="1:5" ht="18.5" x14ac:dyDescent="0.45">
      <c r="A2704" s="3">
        <v>2698</v>
      </c>
      <c r="B2704" s="9">
        <f t="shared" si="168"/>
        <v>0.99998385364478326</v>
      </c>
      <c r="C2704" s="3">
        <f t="shared" si="171"/>
        <v>4441528.2843486695</v>
      </c>
      <c r="D2704" s="3">
        <f t="shared" si="169"/>
        <v>0.10140867438167334</v>
      </c>
      <c r="E2704" s="8">
        <f t="shared" si="170"/>
        <v>385.42857142857144</v>
      </c>
    </row>
    <row r="2705" spans="1:5" ht="18.5" x14ac:dyDescent="0.45">
      <c r="A2705" s="3">
        <v>2699</v>
      </c>
      <c r="B2705" s="9">
        <f t="shared" si="168"/>
        <v>0.99998387643727216</v>
      </c>
      <c r="C2705" s="3">
        <f t="shared" si="171"/>
        <v>4441528.3855837882</v>
      </c>
      <c r="D2705" s="3">
        <f t="shared" si="169"/>
        <v>0.10123511869460344</v>
      </c>
      <c r="E2705" s="8">
        <f t="shared" si="170"/>
        <v>385.57142857142856</v>
      </c>
    </row>
    <row r="2706" spans="1:5" ht="18.5" x14ac:dyDescent="0.45">
      <c r="A2706" s="3">
        <v>2700</v>
      </c>
      <c r="B2706" s="9">
        <f t="shared" si="168"/>
        <v>0.99998389919076502</v>
      </c>
      <c r="C2706" s="3">
        <f t="shared" si="171"/>
        <v>4441528.4866457023</v>
      </c>
      <c r="D2706" s="3">
        <f t="shared" si="169"/>
        <v>0.10106191411614418</v>
      </c>
      <c r="E2706" s="8">
        <f t="shared" si="170"/>
        <v>385.71428571428572</v>
      </c>
    </row>
    <row r="2707" spans="1:5" ht="18.5" x14ac:dyDescent="0.45">
      <c r="A2707" s="3">
        <v>2701</v>
      </c>
      <c r="B2707" s="9">
        <f t="shared" si="168"/>
        <v>0.99998392190534069</v>
      </c>
      <c r="C2707" s="3">
        <f t="shared" si="171"/>
        <v>4441528.5875347611</v>
      </c>
      <c r="D2707" s="3">
        <f t="shared" si="169"/>
        <v>0.1008890587836504</v>
      </c>
      <c r="E2707" s="8">
        <f t="shared" si="170"/>
        <v>385.85714285714283</v>
      </c>
    </row>
    <row r="2708" spans="1:5" ht="18.5" x14ac:dyDescent="0.45">
      <c r="A2708" s="3">
        <v>2702</v>
      </c>
      <c r="B2708" s="9">
        <f t="shared" si="168"/>
        <v>0.99998394458107753</v>
      </c>
      <c r="C2708" s="3">
        <f t="shared" si="171"/>
        <v>4441528.6882513138</v>
      </c>
      <c r="D2708" s="3">
        <f t="shared" si="169"/>
        <v>0.1007165526971221</v>
      </c>
      <c r="E2708" s="8">
        <f t="shared" si="170"/>
        <v>386</v>
      </c>
    </row>
    <row r="2709" spans="1:5" ht="18.5" x14ac:dyDescent="0.45">
      <c r="A2709" s="3">
        <v>2703</v>
      </c>
      <c r="B2709" s="9">
        <f t="shared" si="168"/>
        <v>0.99998396721805416</v>
      </c>
      <c r="C2709" s="3">
        <f t="shared" si="171"/>
        <v>4441528.7887957096</v>
      </c>
      <c r="D2709" s="3">
        <f t="shared" si="169"/>
        <v>0.10054439585655928</v>
      </c>
      <c r="E2709" s="8">
        <f t="shared" si="170"/>
        <v>386.14285714285717</v>
      </c>
    </row>
    <row r="2710" spans="1:5" ht="18.5" x14ac:dyDescent="0.45">
      <c r="A2710" s="3">
        <v>2704</v>
      </c>
      <c r="B2710" s="9">
        <f t="shared" si="168"/>
        <v>0.99998398981634862</v>
      </c>
      <c r="C2710" s="3">
        <f t="shared" si="171"/>
        <v>4441528.8891682941</v>
      </c>
      <c r="D2710" s="3">
        <f t="shared" si="169"/>
        <v>0.10037258453667164</v>
      </c>
      <c r="E2710" s="8">
        <f t="shared" si="170"/>
        <v>386.28571428571428</v>
      </c>
    </row>
    <row r="2711" spans="1:5" ht="18.5" x14ac:dyDescent="0.45">
      <c r="A2711" s="3">
        <v>2705</v>
      </c>
      <c r="B2711" s="9">
        <f t="shared" ref="B2711:B2757" si="172">LOGNORMDIST(A2711,$A$3,$B$3)</f>
        <v>0.99998401237603907</v>
      </c>
      <c r="C2711" s="3">
        <f t="shared" si="171"/>
        <v>4441528.9893694147</v>
      </c>
      <c r="D2711" s="3">
        <f t="shared" ref="D2711:D2757" si="173">C2711-C2710</f>
        <v>0.10020112060010433</v>
      </c>
      <c r="E2711" s="8">
        <f t="shared" ref="E2711:E2757" si="174">A2711/7</f>
        <v>386.42857142857144</v>
      </c>
    </row>
    <row r="2712" spans="1:5" ht="18.5" x14ac:dyDescent="0.45">
      <c r="A2712" s="3">
        <v>2706</v>
      </c>
      <c r="B2712" s="9">
        <f t="shared" si="172"/>
        <v>0.99998403489720333</v>
      </c>
      <c r="C2712" s="3">
        <f t="shared" si="171"/>
        <v>4441529.0893994179</v>
      </c>
      <c r="D2712" s="3">
        <f t="shared" si="173"/>
        <v>0.10003000311553478</v>
      </c>
      <c r="E2712" s="8">
        <f t="shared" si="174"/>
        <v>386.57142857142856</v>
      </c>
    </row>
    <row r="2713" spans="1:5" ht="18.5" x14ac:dyDescent="0.45">
      <c r="A2713" s="3">
        <v>2707</v>
      </c>
      <c r="B2713" s="9">
        <f t="shared" si="172"/>
        <v>0.99998405737991891</v>
      </c>
      <c r="C2713" s="3">
        <f t="shared" si="171"/>
        <v>4441529.1892586481</v>
      </c>
      <c r="D2713" s="3">
        <f t="shared" si="173"/>
        <v>9.9859230220317841E-2</v>
      </c>
      <c r="E2713" s="8">
        <f t="shared" si="174"/>
        <v>386.71428571428572</v>
      </c>
    </row>
    <row r="2714" spans="1:5" ht="18.5" x14ac:dyDescent="0.45">
      <c r="A2714" s="3">
        <v>2708</v>
      </c>
      <c r="B2714" s="9">
        <f t="shared" si="172"/>
        <v>0.99998407982426341</v>
      </c>
      <c r="C2714" s="3">
        <f t="shared" si="171"/>
        <v>4441529.2889474481</v>
      </c>
      <c r="D2714" s="3">
        <f t="shared" si="173"/>
        <v>9.9688800051808357E-2</v>
      </c>
      <c r="E2714" s="8">
        <f t="shared" si="174"/>
        <v>386.85714285714283</v>
      </c>
    </row>
    <row r="2715" spans="1:5" ht="18.5" x14ac:dyDescent="0.45">
      <c r="A2715" s="3">
        <v>2709</v>
      </c>
      <c r="B2715" s="9">
        <f t="shared" si="172"/>
        <v>0.9999841022303142</v>
      </c>
      <c r="C2715" s="3">
        <f t="shared" si="171"/>
        <v>4441529.3884661635</v>
      </c>
      <c r="D2715" s="3">
        <f t="shared" si="173"/>
        <v>9.9518715403974056E-2</v>
      </c>
      <c r="E2715" s="8">
        <f t="shared" si="174"/>
        <v>387</v>
      </c>
    </row>
    <row r="2716" spans="1:5" ht="18.5" x14ac:dyDescent="0.45">
      <c r="A2716" s="3">
        <v>2710</v>
      </c>
      <c r="B2716" s="9">
        <f t="shared" si="172"/>
        <v>0.99998412459814823</v>
      </c>
      <c r="C2716" s="3">
        <f t="shared" si="171"/>
        <v>4441529.4878151352</v>
      </c>
      <c r="D2716" s="3">
        <f t="shared" si="173"/>
        <v>9.9348971620202065E-2</v>
      </c>
      <c r="E2716" s="8">
        <f t="shared" si="174"/>
        <v>387.14285714285717</v>
      </c>
    </row>
    <row r="2717" spans="1:5" ht="18.5" x14ac:dyDescent="0.45">
      <c r="A2717" s="3">
        <v>2711</v>
      </c>
      <c r="B2717" s="9">
        <f t="shared" si="172"/>
        <v>0.99998414692784265</v>
      </c>
      <c r="C2717" s="3">
        <f t="shared" si="171"/>
        <v>4441529.5869947057</v>
      </c>
      <c r="D2717" s="3">
        <f t="shared" si="173"/>
        <v>9.9179570563137531E-2</v>
      </c>
      <c r="E2717" s="8">
        <f t="shared" si="174"/>
        <v>387.28571428571428</v>
      </c>
    </row>
    <row r="2718" spans="1:5" ht="18.5" x14ac:dyDescent="0.45">
      <c r="A2718" s="3">
        <v>2712</v>
      </c>
      <c r="B2718" s="9">
        <f t="shared" si="172"/>
        <v>0.99998416921947408</v>
      </c>
      <c r="C2718" s="3">
        <f t="shared" si="171"/>
        <v>4441529.6860052161</v>
      </c>
      <c r="D2718" s="3">
        <f t="shared" si="173"/>
        <v>9.9010510370135307E-2</v>
      </c>
      <c r="E2718" s="8">
        <f t="shared" si="174"/>
        <v>387.42857142857144</v>
      </c>
    </row>
    <row r="2719" spans="1:5" ht="18.5" x14ac:dyDescent="0.45">
      <c r="A2719" s="3">
        <v>2713</v>
      </c>
      <c r="B2719" s="9">
        <f t="shared" si="172"/>
        <v>0.99998419147311912</v>
      </c>
      <c r="C2719" s="3">
        <f t="shared" si="171"/>
        <v>4441529.7848470062</v>
      </c>
      <c r="D2719" s="3">
        <f t="shared" si="173"/>
        <v>9.8841790109872818E-2</v>
      </c>
      <c r="E2719" s="8">
        <f t="shared" si="174"/>
        <v>387.57142857142856</v>
      </c>
    </row>
    <row r="2720" spans="1:5" ht="18.5" x14ac:dyDescent="0.45">
      <c r="A2720" s="3">
        <v>2714</v>
      </c>
      <c r="B2720" s="9">
        <f t="shared" si="172"/>
        <v>0.99998421368885415</v>
      </c>
      <c r="C2720" s="3">
        <f t="shared" si="171"/>
        <v>4441529.8835204151</v>
      </c>
      <c r="D2720" s="3">
        <f t="shared" si="173"/>
        <v>9.8673408851027489E-2</v>
      </c>
      <c r="E2720" s="8">
        <f t="shared" si="174"/>
        <v>387.71428571428572</v>
      </c>
    </row>
    <row r="2721" spans="1:5" ht="18.5" x14ac:dyDescent="0.45">
      <c r="A2721" s="3">
        <v>2715</v>
      </c>
      <c r="B2721" s="9">
        <f t="shared" si="172"/>
        <v>0.99998423586675544</v>
      </c>
      <c r="C2721" s="3">
        <f t="shared" si="171"/>
        <v>4441529.9820257807</v>
      </c>
      <c r="D2721" s="3">
        <f t="shared" si="173"/>
        <v>9.8505365662276745E-2</v>
      </c>
      <c r="E2721" s="8">
        <f t="shared" si="174"/>
        <v>387.85714285714283</v>
      </c>
    </row>
    <row r="2722" spans="1:5" ht="18.5" x14ac:dyDescent="0.45">
      <c r="A2722" s="3">
        <v>2716</v>
      </c>
      <c r="B2722" s="9">
        <f t="shared" si="172"/>
        <v>0.99998425800689905</v>
      </c>
      <c r="C2722" s="3">
        <f t="shared" si="171"/>
        <v>4441530.0803634431</v>
      </c>
      <c r="D2722" s="3">
        <f t="shared" si="173"/>
        <v>9.8337662406265736E-2</v>
      </c>
      <c r="E2722" s="8">
        <f t="shared" si="174"/>
        <v>388</v>
      </c>
    </row>
    <row r="2723" spans="1:5" ht="18.5" x14ac:dyDescent="0.45">
      <c r="A2723" s="3">
        <v>2717</v>
      </c>
      <c r="B2723" s="9">
        <f t="shared" si="172"/>
        <v>0.99998428010936091</v>
      </c>
      <c r="C2723" s="3">
        <f t="shared" si="171"/>
        <v>4441530.1785337375</v>
      </c>
      <c r="D2723" s="3">
        <f t="shared" si="173"/>
        <v>9.8170294426381588E-2</v>
      </c>
      <c r="E2723" s="8">
        <f t="shared" si="174"/>
        <v>388.14285714285717</v>
      </c>
    </row>
    <row r="2724" spans="1:5" ht="18.5" x14ac:dyDescent="0.45">
      <c r="A2724" s="3">
        <v>2718</v>
      </c>
      <c r="B2724" s="9">
        <f t="shared" si="172"/>
        <v>0.99998430217421652</v>
      </c>
      <c r="C2724" s="3">
        <f t="shared" si="171"/>
        <v>4441530.2765370002</v>
      </c>
      <c r="D2724" s="3">
        <f t="shared" si="173"/>
        <v>9.8003262653946877E-2</v>
      </c>
      <c r="E2724" s="8">
        <f t="shared" si="174"/>
        <v>388.28571428571428</v>
      </c>
    </row>
    <row r="2725" spans="1:5" ht="18.5" x14ac:dyDescent="0.45">
      <c r="A2725" s="3">
        <v>2719</v>
      </c>
      <c r="B2725" s="9">
        <f t="shared" si="172"/>
        <v>0.9999843242015416</v>
      </c>
      <c r="C2725" s="3">
        <f t="shared" si="171"/>
        <v>4441530.3743735673</v>
      </c>
      <c r="D2725" s="3">
        <f t="shared" si="173"/>
        <v>9.7836567088961601E-2</v>
      </c>
      <c r="E2725" s="8">
        <f t="shared" si="174"/>
        <v>388.42857142857144</v>
      </c>
    </row>
    <row r="2726" spans="1:5" ht="18.5" x14ac:dyDescent="0.45">
      <c r="A2726" s="3">
        <v>2720</v>
      </c>
      <c r="B2726" s="9">
        <f t="shared" si="172"/>
        <v>0.99998434619141141</v>
      </c>
      <c r="C2726" s="3">
        <f t="shared" si="171"/>
        <v>4441530.4720437732</v>
      </c>
      <c r="D2726" s="3">
        <f t="shared" si="173"/>
        <v>9.7670205868780613E-2</v>
      </c>
      <c r="E2726" s="8">
        <f t="shared" si="174"/>
        <v>388.57142857142856</v>
      </c>
    </row>
    <row r="2727" spans="1:5" ht="18.5" x14ac:dyDescent="0.45">
      <c r="A2727" s="3">
        <v>2721</v>
      </c>
      <c r="B2727" s="9">
        <f t="shared" si="172"/>
        <v>0.99998436814390124</v>
      </c>
      <c r="C2727" s="3">
        <f t="shared" si="171"/>
        <v>4441530.5695479522</v>
      </c>
      <c r="D2727" s="3">
        <f t="shared" si="173"/>
        <v>9.7504178993403912E-2</v>
      </c>
      <c r="E2727" s="8">
        <f t="shared" si="174"/>
        <v>388.71428571428572</v>
      </c>
    </row>
    <row r="2728" spans="1:5" ht="18.5" x14ac:dyDescent="0.45">
      <c r="A2728" s="3">
        <v>2722</v>
      </c>
      <c r="B2728" s="9">
        <f t="shared" si="172"/>
        <v>0.9999843900590859</v>
      </c>
      <c r="C2728" s="3">
        <f t="shared" si="171"/>
        <v>4441530.6668864358</v>
      </c>
      <c r="D2728" s="3">
        <f t="shared" si="173"/>
        <v>9.7338483668863773E-2</v>
      </c>
      <c r="E2728" s="8">
        <f t="shared" si="174"/>
        <v>388.85714285714283</v>
      </c>
    </row>
    <row r="2729" spans="1:5" ht="18.5" x14ac:dyDescent="0.45">
      <c r="A2729" s="3">
        <v>2723</v>
      </c>
      <c r="B2729" s="9">
        <f t="shared" si="172"/>
        <v>0.99998441193704024</v>
      </c>
      <c r="C2729" s="3">
        <f t="shared" si="171"/>
        <v>4441530.7640595576</v>
      </c>
      <c r="D2729" s="3">
        <f t="shared" si="173"/>
        <v>9.7173121757805347E-2</v>
      </c>
      <c r="E2729" s="8">
        <f t="shared" si="174"/>
        <v>389</v>
      </c>
    </row>
    <row r="2730" spans="1:5" ht="18.5" x14ac:dyDescent="0.45">
      <c r="A2730" s="3">
        <v>2724</v>
      </c>
      <c r="B2730" s="9">
        <f t="shared" si="172"/>
        <v>0.99998443377783908</v>
      </c>
      <c r="C2730" s="3">
        <f t="shared" si="171"/>
        <v>4441530.8610676499</v>
      </c>
      <c r="D2730" s="3">
        <f t="shared" si="173"/>
        <v>9.7008092328906059E-2</v>
      </c>
      <c r="E2730" s="8">
        <f t="shared" si="174"/>
        <v>389.14285714285717</v>
      </c>
    </row>
    <row r="2731" spans="1:5" ht="18.5" x14ac:dyDescent="0.45">
      <c r="A2731" s="3">
        <v>2725</v>
      </c>
      <c r="B2731" s="9">
        <f t="shared" si="172"/>
        <v>0.99998445558155669</v>
      </c>
      <c r="C2731" s="3">
        <f t="shared" si="171"/>
        <v>4441530.9579110425</v>
      </c>
      <c r="D2731" s="3">
        <f t="shared" si="173"/>
        <v>9.6843392588198185E-2</v>
      </c>
      <c r="E2731" s="8">
        <f t="shared" si="174"/>
        <v>389.28571428571428</v>
      </c>
    </row>
    <row r="2732" spans="1:5" ht="18.5" x14ac:dyDescent="0.45">
      <c r="A2732" s="3">
        <v>2726</v>
      </c>
      <c r="B2732" s="9">
        <f t="shared" si="172"/>
        <v>0.99998447734826756</v>
      </c>
      <c r="C2732" s="3">
        <f t="shared" si="171"/>
        <v>4441531.054590065</v>
      </c>
      <c r="D2732" s="3">
        <f t="shared" si="173"/>
        <v>9.6679022535681725E-2</v>
      </c>
      <c r="E2732" s="8">
        <f t="shared" si="174"/>
        <v>389.42857142857144</v>
      </c>
    </row>
    <row r="2733" spans="1:5" ht="18.5" x14ac:dyDescent="0.45">
      <c r="A2733" s="3">
        <v>2727</v>
      </c>
      <c r="B2733" s="9">
        <f t="shared" si="172"/>
        <v>0.99998449907804565</v>
      </c>
      <c r="C2733" s="3">
        <f t="shared" si="171"/>
        <v>4441531.1511050472</v>
      </c>
      <c r="D2733" s="3">
        <f t="shared" si="173"/>
        <v>9.6514982171356678E-2</v>
      </c>
      <c r="E2733" s="8">
        <f t="shared" si="174"/>
        <v>389.57142857142856</v>
      </c>
    </row>
    <row r="2734" spans="1:5" ht="18.5" x14ac:dyDescent="0.45">
      <c r="A2734" s="3">
        <v>2728</v>
      </c>
      <c r="B2734" s="9">
        <f t="shared" si="172"/>
        <v>0.999984520770965</v>
      </c>
      <c r="C2734" s="3">
        <f t="shared" si="171"/>
        <v>4441531.2474563178</v>
      </c>
      <c r="D2734" s="3">
        <f t="shared" si="173"/>
        <v>9.6351270563900471E-2</v>
      </c>
      <c r="E2734" s="8">
        <f t="shared" si="174"/>
        <v>389.71428571428572</v>
      </c>
    </row>
    <row r="2735" spans="1:5" ht="18.5" x14ac:dyDescent="0.45">
      <c r="A2735" s="3">
        <v>2729</v>
      </c>
      <c r="B2735" s="9">
        <f t="shared" si="172"/>
        <v>0.99998454242709944</v>
      </c>
      <c r="C2735" s="3">
        <f t="shared" si="171"/>
        <v>4441531.3436442045</v>
      </c>
      <c r="D2735" s="3">
        <f t="shared" si="173"/>
        <v>9.6187886781990528E-2</v>
      </c>
      <c r="E2735" s="8">
        <f t="shared" si="174"/>
        <v>389.85714285714283</v>
      </c>
    </row>
    <row r="2736" spans="1:5" ht="18.5" x14ac:dyDescent="0.45">
      <c r="A2736" s="3">
        <v>2730</v>
      </c>
      <c r="B2736" s="9">
        <f t="shared" si="172"/>
        <v>0.99998456404652258</v>
      </c>
      <c r="C2736" s="3">
        <f t="shared" si="171"/>
        <v>4441531.4396690344</v>
      </c>
      <c r="D2736" s="3">
        <f t="shared" si="173"/>
        <v>9.6024829894304276E-2</v>
      </c>
      <c r="E2736" s="8">
        <f t="shared" si="174"/>
        <v>390</v>
      </c>
    </row>
    <row r="2737" spans="1:5" ht="18.5" x14ac:dyDescent="0.45">
      <c r="A2737" s="3">
        <v>2731</v>
      </c>
      <c r="B2737" s="9">
        <f t="shared" si="172"/>
        <v>0.9999845856293077</v>
      </c>
      <c r="C2737" s="3">
        <f t="shared" si="171"/>
        <v>4441531.5355311334</v>
      </c>
      <c r="D2737" s="3">
        <f t="shared" si="173"/>
        <v>9.5862098969519138E-2</v>
      </c>
      <c r="E2737" s="8">
        <f t="shared" si="174"/>
        <v>390.14285714285717</v>
      </c>
    </row>
    <row r="2738" spans="1:5" ht="18.5" x14ac:dyDescent="0.45">
      <c r="A2738" s="3">
        <v>2732</v>
      </c>
      <c r="B2738" s="9">
        <f t="shared" si="172"/>
        <v>0.99998460717552839</v>
      </c>
      <c r="C2738" s="3">
        <f t="shared" si="171"/>
        <v>4441531.6312308265</v>
      </c>
      <c r="D2738" s="3">
        <f t="shared" si="173"/>
        <v>9.5699693076312542E-2</v>
      </c>
      <c r="E2738" s="8">
        <f t="shared" si="174"/>
        <v>390.28571428571428</v>
      </c>
    </row>
    <row r="2739" spans="1:5" ht="18.5" x14ac:dyDescent="0.45">
      <c r="A2739" s="3">
        <v>2733</v>
      </c>
      <c r="B2739" s="9">
        <f t="shared" si="172"/>
        <v>0.99998462868525739</v>
      </c>
      <c r="C2739" s="3">
        <f t="shared" si="171"/>
        <v>4441531.7267684396</v>
      </c>
      <c r="D2739" s="3">
        <f t="shared" si="173"/>
        <v>9.5537613146007061E-2</v>
      </c>
      <c r="E2739" s="8">
        <f t="shared" si="174"/>
        <v>390.42857142857144</v>
      </c>
    </row>
    <row r="2740" spans="1:5" ht="18.5" x14ac:dyDescent="0.45">
      <c r="A2740" s="3">
        <v>2734</v>
      </c>
      <c r="B2740" s="9">
        <f t="shared" si="172"/>
        <v>0.99998465015856797</v>
      </c>
      <c r="C2740" s="3">
        <f t="shared" si="171"/>
        <v>4441531.8221442951</v>
      </c>
      <c r="D2740" s="3">
        <f t="shared" si="173"/>
        <v>9.5375855453312397E-2</v>
      </c>
      <c r="E2740" s="8">
        <f t="shared" si="174"/>
        <v>390.57142857142856</v>
      </c>
    </row>
    <row r="2741" spans="1:5" ht="18.5" x14ac:dyDescent="0.45">
      <c r="A2741" s="3">
        <v>2735</v>
      </c>
      <c r="B2741" s="9">
        <f t="shared" si="172"/>
        <v>0.99998467159553273</v>
      </c>
      <c r="C2741" s="3">
        <f t="shared" si="171"/>
        <v>4441531.9173587179</v>
      </c>
      <c r="D2741" s="3">
        <f t="shared" si="173"/>
        <v>9.5214422792196274E-2</v>
      </c>
      <c r="E2741" s="8">
        <f t="shared" si="174"/>
        <v>390.71428571428572</v>
      </c>
    </row>
    <row r="2742" spans="1:5" ht="18.5" x14ac:dyDescent="0.45">
      <c r="A2742" s="3">
        <v>2736</v>
      </c>
      <c r="B2742" s="9">
        <f t="shared" si="172"/>
        <v>0.99998469299622428</v>
      </c>
      <c r="C2742" s="3">
        <f t="shared" si="171"/>
        <v>4441532.0124120293</v>
      </c>
      <c r="D2742" s="3">
        <f t="shared" si="173"/>
        <v>9.5053311437368393E-2</v>
      </c>
      <c r="E2742" s="8">
        <f t="shared" si="174"/>
        <v>390.85714285714283</v>
      </c>
    </row>
    <row r="2743" spans="1:5" ht="18.5" x14ac:dyDescent="0.45">
      <c r="A2743" s="3">
        <v>2737</v>
      </c>
      <c r="B2743" s="9">
        <f t="shared" si="172"/>
        <v>0.99998471436071512</v>
      </c>
      <c r="C2743" s="3">
        <f t="shared" si="171"/>
        <v>4441532.1073045526</v>
      </c>
      <c r="D2743" s="3">
        <f t="shared" si="173"/>
        <v>9.4892523251473904E-2</v>
      </c>
      <c r="E2743" s="8">
        <f t="shared" si="174"/>
        <v>391</v>
      </c>
    </row>
    <row r="2744" spans="1:5" ht="18.5" x14ac:dyDescent="0.45">
      <c r="A2744" s="3">
        <v>2738</v>
      </c>
      <c r="B2744" s="9">
        <f t="shared" si="172"/>
        <v>0.99998473568907742</v>
      </c>
      <c r="C2744" s="3">
        <f t="shared" si="171"/>
        <v>4441532.2020366061</v>
      </c>
      <c r="D2744" s="3">
        <f t="shared" si="173"/>
        <v>9.4732053577899933E-2</v>
      </c>
      <c r="E2744" s="8">
        <f t="shared" si="174"/>
        <v>391.14285714285717</v>
      </c>
    </row>
    <row r="2745" spans="1:5" ht="18.5" x14ac:dyDescent="0.45">
      <c r="A2745" s="3">
        <v>2739</v>
      </c>
      <c r="B2745" s="9">
        <f t="shared" si="172"/>
        <v>0.99998475698138334</v>
      </c>
      <c r="C2745" s="3">
        <f t="shared" si="171"/>
        <v>4441532.2966085123</v>
      </c>
      <c r="D2745" s="3">
        <f t="shared" si="173"/>
        <v>9.4571906141936779E-2</v>
      </c>
      <c r="E2745" s="8">
        <f t="shared" si="174"/>
        <v>391.28571428571428</v>
      </c>
    </row>
    <row r="2746" spans="1:5" ht="18.5" x14ac:dyDescent="0.45">
      <c r="A2746" s="3">
        <v>2740</v>
      </c>
      <c r="B2746" s="9">
        <f t="shared" si="172"/>
        <v>0.99998477823770482</v>
      </c>
      <c r="C2746" s="3">
        <f t="shared" si="171"/>
        <v>4441532.3910205895</v>
      </c>
      <c r="D2746" s="3">
        <f t="shared" si="173"/>
        <v>9.4412077218294144E-2</v>
      </c>
      <c r="E2746" s="8">
        <f t="shared" si="174"/>
        <v>391.42857142857144</v>
      </c>
    </row>
    <row r="2747" spans="1:5" ht="18.5" x14ac:dyDescent="0.45">
      <c r="A2747" s="3">
        <v>2741</v>
      </c>
      <c r="B2747" s="9">
        <f t="shared" si="172"/>
        <v>0.99998479945811358</v>
      </c>
      <c r="C2747" s="3">
        <f t="shared" si="171"/>
        <v>4441532.4852731572</v>
      </c>
      <c r="D2747" s="3">
        <f t="shared" si="173"/>
        <v>9.4252567738294601E-2</v>
      </c>
      <c r="E2747" s="8">
        <f t="shared" si="174"/>
        <v>391.57142857142856</v>
      </c>
    </row>
    <row r="2748" spans="1:5" ht="18.5" x14ac:dyDescent="0.45">
      <c r="A2748" s="3">
        <v>2742</v>
      </c>
      <c r="B2748" s="9">
        <f t="shared" si="172"/>
        <v>0.99998482064268135</v>
      </c>
      <c r="C2748" s="3">
        <f t="shared" si="171"/>
        <v>4441532.5793665331</v>
      </c>
      <c r="D2748" s="3">
        <f t="shared" si="173"/>
        <v>9.4093375839293003E-2</v>
      </c>
      <c r="E2748" s="8">
        <f t="shared" si="174"/>
        <v>391.71428571428572</v>
      </c>
    </row>
    <row r="2749" spans="1:5" ht="18.5" x14ac:dyDescent="0.45">
      <c r="A2749" s="3">
        <v>2743</v>
      </c>
      <c r="B2749" s="9">
        <f t="shared" si="172"/>
        <v>0.9999848417914794</v>
      </c>
      <c r="C2749" s="3">
        <f t="shared" si="171"/>
        <v>4441532.6733010346</v>
      </c>
      <c r="D2749" s="3">
        <f t="shared" si="173"/>
        <v>9.3934501521289349E-2</v>
      </c>
      <c r="E2749" s="8">
        <f t="shared" si="174"/>
        <v>391.85714285714283</v>
      </c>
    </row>
    <row r="2750" spans="1:5" ht="18.5" x14ac:dyDescent="0.45">
      <c r="A2750" s="3">
        <v>2744</v>
      </c>
      <c r="B2750" s="9">
        <f t="shared" si="172"/>
        <v>0.99998486290457911</v>
      </c>
      <c r="C2750" s="3">
        <f t="shared" si="171"/>
        <v>4441532.7670769785</v>
      </c>
      <c r="D2750" s="3">
        <f t="shared" si="173"/>
        <v>9.3775943852961063E-2</v>
      </c>
      <c r="E2750" s="8">
        <f t="shared" si="174"/>
        <v>392</v>
      </c>
    </row>
    <row r="2751" spans="1:5" ht="18.5" x14ac:dyDescent="0.45">
      <c r="A2751" s="3">
        <v>2745</v>
      </c>
      <c r="B2751" s="9">
        <f t="shared" si="172"/>
        <v>0.99998488398205154</v>
      </c>
      <c r="C2751" s="3">
        <f t="shared" si="171"/>
        <v>4441532.8606946804</v>
      </c>
      <c r="D2751" s="3">
        <f t="shared" si="173"/>
        <v>9.3617701902985573E-2</v>
      </c>
      <c r="E2751" s="8">
        <f t="shared" si="174"/>
        <v>392.14285714285717</v>
      </c>
    </row>
    <row r="2752" spans="1:5" ht="18.5" x14ac:dyDescent="0.45">
      <c r="A2752" s="3">
        <v>2746</v>
      </c>
      <c r="B2752" s="9">
        <f t="shared" si="172"/>
        <v>0.99998490502396764</v>
      </c>
      <c r="C2752" s="3">
        <f t="shared" si="171"/>
        <v>4441532.9541544551</v>
      </c>
      <c r="D2752" s="3">
        <f t="shared" si="173"/>
        <v>9.3459774740040302E-2</v>
      </c>
      <c r="E2752" s="8">
        <f t="shared" si="174"/>
        <v>392.28571428571428</v>
      </c>
    </row>
    <row r="2753" spans="1:5" ht="18.5" x14ac:dyDescent="0.45">
      <c r="A2753" s="3">
        <v>2747</v>
      </c>
      <c r="B2753" s="9">
        <f t="shared" si="172"/>
        <v>0.99998492603039824</v>
      </c>
      <c r="C2753" s="3">
        <f t="shared" si="171"/>
        <v>4441533.0474566165</v>
      </c>
      <c r="D2753" s="3">
        <f t="shared" si="173"/>
        <v>9.3302161432802677E-2</v>
      </c>
      <c r="E2753" s="8">
        <f t="shared" si="174"/>
        <v>392.42857142857144</v>
      </c>
    </row>
    <row r="2754" spans="1:5" ht="18.5" x14ac:dyDescent="0.45">
      <c r="A2754" s="3">
        <v>2748</v>
      </c>
      <c r="B2754" s="9">
        <f t="shared" si="172"/>
        <v>0.99998494700141394</v>
      </c>
      <c r="C2754" s="3">
        <f t="shared" si="171"/>
        <v>4441533.1406014804</v>
      </c>
      <c r="D2754" s="3">
        <f t="shared" si="173"/>
        <v>9.3144863843917847E-2</v>
      </c>
      <c r="E2754" s="8">
        <f t="shared" si="174"/>
        <v>392.57142857142856</v>
      </c>
    </row>
    <row r="2755" spans="1:5" ht="18.5" x14ac:dyDescent="0.45">
      <c r="A2755" s="3">
        <v>2749</v>
      </c>
      <c r="B2755" s="9">
        <f t="shared" si="172"/>
        <v>0.99998496793708513</v>
      </c>
      <c r="C2755" s="3">
        <f t="shared" si="171"/>
        <v>4441533.2335893577</v>
      </c>
      <c r="D2755" s="3">
        <f t="shared" si="173"/>
        <v>9.2987877316772938E-2</v>
      </c>
      <c r="E2755" s="8">
        <f t="shared" si="174"/>
        <v>392.71428571428572</v>
      </c>
    </row>
    <row r="2756" spans="1:5" ht="18.5" x14ac:dyDescent="0.45">
      <c r="A2756" s="3">
        <v>2750</v>
      </c>
      <c r="B2756" s="9">
        <f t="shared" si="172"/>
        <v>0.99998498883748221</v>
      </c>
      <c r="C2756" s="3">
        <f t="shared" si="171"/>
        <v>4441533.3264205614</v>
      </c>
      <c r="D2756" s="3">
        <f t="shared" si="173"/>
        <v>9.28312037140131E-2</v>
      </c>
      <c r="E2756" s="8">
        <f t="shared" si="174"/>
        <v>392.85714285714283</v>
      </c>
    </row>
    <row r="2757" spans="1:5" ht="18.5" x14ac:dyDescent="0.45">
      <c r="A2757" s="3">
        <v>2751</v>
      </c>
      <c r="B2757" s="9">
        <f t="shared" si="172"/>
        <v>0.99998500970267523</v>
      </c>
      <c r="C2757" s="3">
        <f t="shared" si="171"/>
        <v>4441533.4190954026</v>
      </c>
      <c r="D2757" s="3">
        <f t="shared" si="173"/>
        <v>9.2674841172993183E-2</v>
      </c>
      <c r="E2757" s="8">
        <f t="shared" si="174"/>
        <v>393</v>
      </c>
    </row>
    <row r="2758" spans="1:5" ht="18.5" x14ac:dyDescent="0.45">
      <c r="A2758" s="3">
        <v>2752</v>
      </c>
      <c r="B2758" s="9">
        <f>LOGNORMDIST(A2758,$A$3,$B$3)</f>
        <v>0.99998503053273424</v>
      </c>
      <c r="C2758" s="3">
        <f t="shared" si="171"/>
        <v>4441533.5116141923</v>
      </c>
      <c r="D2758" s="3">
        <f>C2758-C2757</f>
        <v>9.2518789693713188E-2</v>
      </c>
      <c r="E2758" s="8">
        <f>A2758/7</f>
        <v>393.14285714285717</v>
      </c>
    </row>
    <row r="2759" spans="1:5" ht="18.5" x14ac:dyDescent="0.45">
      <c r="A2759" s="3">
        <v>2753</v>
      </c>
      <c r="B2759" s="9">
        <f>LOGNORMDIST(A2759,$A$3,$B$3)</f>
        <v>0.99998505132772886</v>
      </c>
      <c r="C2759" s="3">
        <f t="shared" si="171"/>
        <v>4441533.6039772406</v>
      </c>
      <c r="D2759" s="3">
        <f>C2759-C2758</f>
        <v>9.236304834485054E-2</v>
      </c>
      <c r="E2759" s="8">
        <f>A2759/7</f>
        <v>393.28571428571428</v>
      </c>
    </row>
    <row r="2760" spans="1:5" ht="18.5" x14ac:dyDescent="0.45">
      <c r="A2760" s="3">
        <v>2754</v>
      </c>
      <c r="B2760" s="9">
        <f>LOGNORMDIST(A2760,$A$3,$B$3)</f>
        <v>0.99998507208772902</v>
      </c>
      <c r="C2760" s="3">
        <f t="shared" ref="C2760:C2823" si="175">$E$3*B2760</f>
        <v>4441533.6961848568</v>
      </c>
      <c r="D2760" s="3">
        <f>C2760-C2759</f>
        <v>9.2207616195082664E-2</v>
      </c>
      <c r="E2760" s="8">
        <f>A2760/7</f>
        <v>393.42857142857144</v>
      </c>
    </row>
    <row r="2761" spans="1:5" ht="18.5" x14ac:dyDescent="0.45">
      <c r="A2761" s="3">
        <v>2755</v>
      </c>
      <c r="B2761" s="9">
        <f>LOGNORMDIST(A2761,$A$3,$B$3)</f>
        <v>0.99998509281280401</v>
      </c>
      <c r="C2761" s="3">
        <f t="shared" si="175"/>
        <v>4441533.7882373501</v>
      </c>
      <c r="D2761" s="3">
        <f>C2761-C2760</f>
        <v>9.2052493244409561E-2</v>
      </c>
      <c r="E2761" s="8">
        <f>A2761/7</f>
        <v>393.57142857142856</v>
      </c>
    </row>
    <row r="2762" spans="1:5" ht="18.5" x14ac:dyDescent="0.45">
      <c r="A2762" s="3">
        <v>2756</v>
      </c>
      <c r="B2762" s="9">
        <f t="shared" ref="B2762:B2791" si="176">LOGNORMDIST(A2762,$A$3,$B$3)</f>
        <v>0.99998511350302333</v>
      </c>
      <c r="C2762" s="3">
        <f t="shared" si="175"/>
        <v>4441533.8801350286</v>
      </c>
      <c r="D2762" s="3">
        <f t="shared" ref="D2762:D2791" si="177">C2762-C2761</f>
        <v>9.1897678561508656E-2</v>
      </c>
      <c r="E2762" s="8">
        <f t="shared" ref="E2762:E2791" si="178">A2762/7</f>
        <v>393.71428571428572</v>
      </c>
    </row>
    <row r="2763" spans="1:5" ht="18.5" x14ac:dyDescent="0.45">
      <c r="A2763" s="3">
        <v>2757</v>
      </c>
      <c r="B2763" s="9">
        <f t="shared" si="176"/>
        <v>0.99998513415845591</v>
      </c>
      <c r="C2763" s="3">
        <f t="shared" si="175"/>
        <v>4441533.971878198</v>
      </c>
      <c r="D2763" s="3">
        <f t="shared" si="177"/>
        <v>9.1743169352412224E-2</v>
      </c>
      <c r="E2763" s="8">
        <f t="shared" si="178"/>
        <v>393.85714285714283</v>
      </c>
    </row>
    <row r="2764" spans="1:5" ht="18.5" x14ac:dyDescent="0.45">
      <c r="A2764" s="3">
        <v>2758</v>
      </c>
      <c r="B2764" s="9">
        <f t="shared" si="176"/>
        <v>0.99998515477917094</v>
      </c>
      <c r="C2764" s="3">
        <f t="shared" si="175"/>
        <v>4441534.0634671655</v>
      </c>
      <c r="D2764" s="3">
        <f t="shared" si="177"/>
        <v>9.1588967479765415E-2</v>
      </c>
      <c r="E2764" s="8">
        <f t="shared" si="178"/>
        <v>394</v>
      </c>
    </row>
    <row r="2765" spans="1:5" ht="18.5" x14ac:dyDescent="0.45">
      <c r="A2765" s="3">
        <v>2759</v>
      </c>
      <c r="B2765" s="9">
        <f t="shared" si="176"/>
        <v>0.99998517536523723</v>
      </c>
      <c r="C2765" s="3">
        <f t="shared" si="175"/>
        <v>4441534.1549022375</v>
      </c>
      <c r="D2765" s="3">
        <f t="shared" si="177"/>
        <v>9.1435072012245655E-2</v>
      </c>
      <c r="E2765" s="8">
        <f t="shared" si="178"/>
        <v>394.14285714285717</v>
      </c>
    </row>
    <row r="2766" spans="1:5" ht="18.5" x14ac:dyDescent="0.45">
      <c r="A2766" s="3">
        <v>2760</v>
      </c>
      <c r="B2766" s="9">
        <f t="shared" si="176"/>
        <v>0.99998519591672352</v>
      </c>
      <c r="C2766" s="3">
        <f t="shared" si="175"/>
        <v>4441534.2461837195</v>
      </c>
      <c r="D2766" s="3">
        <f t="shared" si="177"/>
        <v>9.1281482018530369E-2</v>
      </c>
      <c r="E2766" s="8">
        <f t="shared" si="178"/>
        <v>394.28571428571428</v>
      </c>
    </row>
    <row r="2767" spans="1:5" ht="18.5" x14ac:dyDescent="0.45">
      <c r="A2767" s="3">
        <v>2761</v>
      </c>
      <c r="B2767" s="9">
        <f t="shared" si="176"/>
        <v>0.99998521643369831</v>
      </c>
      <c r="C2767" s="3">
        <f t="shared" si="175"/>
        <v>4441534.3373119142</v>
      </c>
      <c r="D2767" s="3">
        <f t="shared" si="177"/>
        <v>9.1128194704651833E-2</v>
      </c>
      <c r="E2767" s="8">
        <f t="shared" si="178"/>
        <v>394.42857142857144</v>
      </c>
    </row>
    <row r="2768" spans="1:5" ht="18.5" x14ac:dyDescent="0.45">
      <c r="A2768" s="3">
        <v>2762</v>
      </c>
      <c r="B2768" s="9">
        <f t="shared" si="176"/>
        <v>0.99998523691622987</v>
      </c>
      <c r="C2768" s="3">
        <f t="shared" si="175"/>
        <v>4441534.4282871261</v>
      </c>
      <c r="D2768" s="3">
        <f t="shared" si="177"/>
        <v>9.0975211933255196E-2</v>
      </c>
      <c r="E2768" s="8">
        <f t="shared" si="178"/>
        <v>394.57142857142856</v>
      </c>
    </row>
    <row r="2769" spans="1:5" ht="18.5" x14ac:dyDescent="0.45">
      <c r="A2769" s="3">
        <v>2763</v>
      </c>
      <c r="B2769" s="9">
        <f t="shared" si="176"/>
        <v>0.9999852573643867</v>
      </c>
      <c r="C2769" s="3">
        <f t="shared" si="175"/>
        <v>4441534.5191096598</v>
      </c>
      <c r="D2769" s="3">
        <f t="shared" si="177"/>
        <v>9.0822533704340458E-2</v>
      </c>
      <c r="E2769" s="8">
        <f t="shared" si="178"/>
        <v>394.71428571428572</v>
      </c>
    </row>
    <row r="2770" spans="1:5" ht="18.5" x14ac:dyDescent="0.45">
      <c r="A2770" s="3">
        <v>2764</v>
      </c>
      <c r="B2770" s="9">
        <f t="shared" si="176"/>
        <v>0.99998527777823665</v>
      </c>
      <c r="C2770" s="3">
        <f t="shared" si="175"/>
        <v>4441534.6097798161</v>
      </c>
      <c r="D2770" s="3">
        <f t="shared" si="177"/>
        <v>9.0670156292617321E-2</v>
      </c>
      <c r="E2770" s="8">
        <f t="shared" si="178"/>
        <v>394.85714285714283</v>
      </c>
    </row>
    <row r="2771" spans="1:5" ht="18.5" x14ac:dyDescent="0.45">
      <c r="A2771" s="3">
        <v>2765</v>
      </c>
      <c r="B2771" s="9">
        <f t="shared" si="176"/>
        <v>0.99998529815784765</v>
      </c>
      <c r="C2771" s="3">
        <f t="shared" si="175"/>
        <v>4441534.7002978958</v>
      </c>
      <c r="D2771" s="3">
        <f t="shared" si="177"/>
        <v>9.0518079698085785E-2</v>
      </c>
      <c r="E2771" s="8">
        <f t="shared" si="178"/>
        <v>395</v>
      </c>
    </row>
    <row r="2772" spans="1:5" ht="18.5" x14ac:dyDescent="0.45">
      <c r="A2772" s="3">
        <v>2766</v>
      </c>
      <c r="B2772" s="9">
        <f t="shared" si="176"/>
        <v>0.99998531850328753</v>
      </c>
      <c r="C2772" s="3">
        <f t="shared" si="175"/>
        <v>4441534.7906642016</v>
      </c>
      <c r="D2772" s="3">
        <f t="shared" si="177"/>
        <v>9.0366305783390999E-2</v>
      </c>
      <c r="E2772" s="8">
        <f t="shared" si="178"/>
        <v>395.14285714285717</v>
      </c>
    </row>
    <row r="2773" spans="1:5" ht="18.5" x14ac:dyDescent="0.45">
      <c r="A2773" s="3">
        <v>2767</v>
      </c>
      <c r="B2773" s="9">
        <f t="shared" si="176"/>
        <v>0.99998533881462381</v>
      </c>
      <c r="C2773" s="3">
        <f t="shared" si="175"/>
        <v>4441534.8808790334</v>
      </c>
      <c r="D2773" s="3">
        <f t="shared" si="177"/>
        <v>9.0214831754565239E-2</v>
      </c>
      <c r="E2773" s="8">
        <f t="shared" si="178"/>
        <v>395.28571428571428</v>
      </c>
    </row>
    <row r="2774" spans="1:5" ht="18.5" x14ac:dyDescent="0.45">
      <c r="A2774" s="3">
        <v>2768</v>
      </c>
      <c r="B2774" s="9">
        <f t="shared" si="176"/>
        <v>0.99998535909192399</v>
      </c>
      <c r="C2774" s="3">
        <f t="shared" si="175"/>
        <v>4441534.97094269</v>
      </c>
      <c r="D2774" s="3">
        <f t="shared" si="177"/>
        <v>9.0063656680285931E-2</v>
      </c>
      <c r="E2774" s="8">
        <f t="shared" si="178"/>
        <v>395.42857142857144</v>
      </c>
    </row>
    <row r="2775" spans="1:5" ht="18.5" x14ac:dyDescent="0.45">
      <c r="A2775" s="3">
        <v>2769</v>
      </c>
      <c r="B2775" s="9">
        <f t="shared" si="176"/>
        <v>0.99998537933525544</v>
      </c>
      <c r="C2775" s="3">
        <f t="shared" si="175"/>
        <v>4441535.0608554706</v>
      </c>
      <c r="D2775" s="3">
        <f t="shared" si="177"/>
        <v>8.9912780560553074E-2</v>
      </c>
      <c r="E2775" s="8">
        <f t="shared" si="178"/>
        <v>395.57142857142856</v>
      </c>
    </row>
    <row r="2776" spans="1:5" ht="18.5" x14ac:dyDescent="0.45">
      <c r="A2776" s="3">
        <v>2770</v>
      </c>
      <c r="B2776" s="9">
        <f t="shared" si="176"/>
        <v>0.99998539954468524</v>
      </c>
      <c r="C2776" s="3">
        <f t="shared" si="175"/>
        <v>4441535.150617674</v>
      </c>
      <c r="D2776" s="3">
        <f t="shared" si="177"/>
        <v>8.9762203395366669E-2</v>
      </c>
      <c r="E2776" s="8">
        <f t="shared" si="178"/>
        <v>395.71428571428572</v>
      </c>
    </row>
    <row r="2777" spans="1:5" ht="18.5" x14ac:dyDescent="0.45">
      <c r="A2777" s="3">
        <v>2771</v>
      </c>
      <c r="B2777" s="9">
        <f t="shared" si="176"/>
        <v>0.99998541972028032</v>
      </c>
      <c r="C2777" s="3">
        <f t="shared" si="175"/>
        <v>4441535.2402295973</v>
      </c>
      <c r="D2777" s="3">
        <f t="shared" si="177"/>
        <v>8.9611923322081566E-2</v>
      </c>
      <c r="E2777" s="8">
        <f t="shared" si="178"/>
        <v>395.85714285714283</v>
      </c>
    </row>
    <row r="2778" spans="1:5" ht="18.5" x14ac:dyDescent="0.45">
      <c r="A2778" s="3">
        <v>2772</v>
      </c>
      <c r="B2778" s="9">
        <f t="shared" si="176"/>
        <v>0.99998543986210753</v>
      </c>
      <c r="C2778" s="3">
        <f t="shared" si="175"/>
        <v>4441535.3296915367</v>
      </c>
      <c r="D2778" s="3">
        <f t="shared" si="177"/>
        <v>8.9461939409375191E-2</v>
      </c>
      <c r="E2778" s="8">
        <f t="shared" si="178"/>
        <v>396</v>
      </c>
    </row>
    <row r="2779" spans="1:5" ht="18.5" x14ac:dyDescent="0.45">
      <c r="A2779" s="3">
        <v>2773</v>
      </c>
      <c r="B2779" s="9">
        <f t="shared" si="176"/>
        <v>0.99998545997023358</v>
      </c>
      <c r="C2779" s="3">
        <f t="shared" si="175"/>
        <v>4441535.4190037893</v>
      </c>
      <c r="D2779" s="3">
        <f t="shared" si="177"/>
        <v>8.9312252588570118E-2</v>
      </c>
      <c r="E2779" s="8">
        <f t="shared" si="178"/>
        <v>396.14285714285717</v>
      </c>
    </row>
    <row r="2780" spans="1:5" ht="18.5" x14ac:dyDescent="0.45">
      <c r="A2780" s="3">
        <v>2774</v>
      </c>
      <c r="B2780" s="9">
        <f t="shared" si="176"/>
        <v>0.99998548004472509</v>
      </c>
      <c r="C2780" s="3">
        <f t="shared" si="175"/>
        <v>4441535.5081666512</v>
      </c>
      <c r="D2780" s="3">
        <f t="shared" si="177"/>
        <v>8.9162861928343773E-2</v>
      </c>
      <c r="E2780" s="8">
        <f t="shared" si="178"/>
        <v>396.28571428571428</v>
      </c>
    </row>
    <row r="2781" spans="1:5" ht="18.5" x14ac:dyDescent="0.45">
      <c r="A2781" s="3">
        <v>2775</v>
      </c>
      <c r="B2781" s="9">
        <f t="shared" si="176"/>
        <v>0.99998550008564824</v>
      </c>
      <c r="C2781" s="3">
        <f t="shared" si="175"/>
        <v>4441535.5971804149</v>
      </c>
      <c r="D2781" s="3">
        <f t="shared" si="177"/>
        <v>8.9013763703405857E-2</v>
      </c>
      <c r="E2781" s="8">
        <f t="shared" si="178"/>
        <v>396.42857142857144</v>
      </c>
    </row>
    <row r="2782" spans="1:5" ht="18.5" x14ac:dyDescent="0.45">
      <c r="A2782" s="3">
        <v>2776</v>
      </c>
      <c r="B2782" s="9">
        <f t="shared" si="176"/>
        <v>0.9999855200930694</v>
      </c>
      <c r="C2782" s="3">
        <f t="shared" si="175"/>
        <v>4441535.6860453775</v>
      </c>
      <c r="D2782" s="3">
        <f t="shared" si="177"/>
        <v>8.8864962570369244E-2</v>
      </c>
      <c r="E2782" s="8">
        <f t="shared" si="178"/>
        <v>396.57142857142856</v>
      </c>
    </row>
    <row r="2783" spans="1:5" ht="18.5" x14ac:dyDescent="0.45">
      <c r="A2783" s="3">
        <v>2777</v>
      </c>
      <c r="B2783" s="9">
        <f t="shared" si="176"/>
        <v>0.99998554006705465</v>
      </c>
      <c r="C2783" s="3">
        <f t="shared" si="175"/>
        <v>4441535.7747618295</v>
      </c>
      <c r="D2783" s="3">
        <f t="shared" si="177"/>
        <v>8.871645200997591E-2</v>
      </c>
      <c r="E2783" s="8">
        <f t="shared" si="178"/>
        <v>396.71428571428572</v>
      </c>
    </row>
    <row r="2784" spans="1:5" ht="18.5" x14ac:dyDescent="0.45">
      <c r="A2784" s="3">
        <v>2778</v>
      </c>
      <c r="B2784" s="9">
        <f t="shared" si="176"/>
        <v>0.9999855600076698</v>
      </c>
      <c r="C2784" s="3">
        <f t="shared" si="175"/>
        <v>4441535.8633300662</v>
      </c>
      <c r="D2784" s="3">
        <f t="shared" si="177"/>
        <v>8.856823667883873E-2</v>
      </c>
      <c r="E2784" s="8">
        <f t="shared" si="178"/>
        <v>396.85714285714283</v>
      </c>
    </row>
    <row r="2785" spans="1:5" ht="18.5" x14ac:dyDescent="0.45">
      <c r="A2785" s="3">
        <v>2779</v>
      </c>
      <c r="B2785" s="9">
        <f t="shared" si="176"/>
        <v>0.99998557991498072</v>
      </c>
      <c r="C2785" s="3">
        <f t="shared" si="175"/>
        <v>4441535.9517503781</v>
      </c>
      <c r="D2785" s="3">
        <f t="shared" si="177"/>
        <v>8.842031192034483E-2</v>
      </c>
      <c r="E2785" s="8">
        <f t="shared" si="178"/>
        <v>397</v>
      </c>
    </row>
    <row r="2786" spans="1:5" ht="18.5" x14ac:dyDescent="0.45">
      <c r="A2786" s="3">
        <v>2780</v>
      </c>
      <c r="B2786" s="9">
        <f t="shared" si="176"/>
        <v>0.9999855997890531</v>
      </c>
      <c r="C2786" s="3">
        <f t="shared" si="175"/>
        <v>4441536.0400230587</v>
      </c>
      <c r="D2786" s="3">
        <f t="shared" si="177"/>
        <v>8.8272680528461933E-2</v>
      </c>
      <c r="E2786" s="8">
        <f t="shared" si="178"/>
        <v>397.14285714285717</v>
      </c>
    </row>
    <row r="2787" spans="1:5" ht="18.5" x14ac:dyDescent="0.45">
      <c r="A2787" s="3">
        <v>2781</v>
      </c>
      <c r="B2787" s="9">
        <f t="shared" si="176"/>
        <v>0.99998561962995225</v>
      </c>
      <c r="C2787" s="3">
        <f t="shared" si="175"/>
        <v>4441536.1281483956</v>
      </c>
      <c r="D2787" s="3">
        <f t="shared" si="177"/>
        <v>8.8125336915254593E-2</v>
      </c>
      <c r="E2787" s="8">
        <f t="shared" si="178"/>
        <v>397.28571428571428</v>
      </c>
    </row>
    <row r="2788" spans="1:5" ht="18.5" x14ac:dyDescent="0.45">
      <c r="A2788" s="3">
        <v>2782</v>
      </c>
      <c r="B2788" s="9">
        <f t="shared" si="176"/>
        <v>0.99998563943774355</v>
      </c>
      <c r="C2788" s="3">
        <f t="shared" si="175"/>
        <v>4441536.2161266813</v>
      </c>
      <c r="D2788" s="3">
        <f t="shared" si="177"/>
        <v>8.7978285737335682E-2</v>
      </c>
      <c r="E2788" s="8">
        <f t="shared" si="178"/>
        <v>397.42857142857144</v>
      </c>
    </row>
    <row r="2789" spans="1:5" ht="18.5" x14ac:dyDescent="0.45">
      <c r="A2789" s="3">
        <v>2783</v>
      </c>
      <c r="B2789" s="9">
        <f t="shared" si="176"/>
        <v>0.99998565921249216</v>
      </c>
      <c r="C2789" s="3">
        <f t="shared" si="175"/>
        <v>4441536.3039582055</v>
      </c>
      <c r="D2789" s="3">
        <f t="shared" si="177"/>
        <v>8.7831524200737476E-2</v>
      </c>
      <c r="E2789" s="8">
        <f t="shared" si="178"/>
        <v>397.57142857142856</v>
      </c>
    </row>
    <row r="2790" spans="1:5" ht="18.5" x14ac:dyDescent="0.45">
      <c r="A2790" s="3">
        <v>2784</v>
      </c>
      <c r="B2790" s="9">
        <f t="shared" si="176"/>
        <v>0.99998567895426327</v>
      </c>
      <c r="C2790" s="3">
        <f t="shared" si="175"/>
        <v>4441536.3916432559</v>
      </c>
      <c r="D2790" s="3">
        <f t="shared" si="177"/>
        <v>8.7685050442814827E-2</v>
      </c>
      <c r="E2790" s="8">
        <f t="shared" si="178"/>
        <v>397.71428571428572</v>
      </c>
    </row>
    <row r="2791" spans="1:5" ht="18.5" x14ac:dyDescent="0.45">
      <c r="A2791" s="3">
        <v>2785</v>
      </c>
      <c r="B2791" s="9">
        <f t="shared" si="176"/>
        <v>0.99998569866312159</v>
      </c>
      <c r="C2791" s="3">
        <f t="shared" si="175"/>
        <v>4441536.4791821204</v>
      </c>
      <c r="D2791" s="3">
        <f t="shared" si="177"/>
        <v>8.7538864463567734E-2</v>
      </c>
      <c r="E2791" s="8">
        <f t="shared" si="178"/>
        <v>397.85714285714283</v>
      </c>
    </row>
    <row r="2792" spans="1:5" ht="18.5" x14ac:dyDescent="0.45">
      <c r="A2792" s="3">
        <v>2786</v>
      </c>
      <c r="B2792" s="9">
        <f t="shared" ref="B2792:B2855" si="179">LOGNORMDIST(A2792,$A$3,$B$3)</f>
        <v>0.99998571833913186</v>
      </c>
      <c r="C2792" s="3">
        <f t="shared" si="175"/>
        <v>4441536.5665750876</v>
      </c>
      <c r="D2792" s="3">
        <f t="shared" ref="D2792:D2855" si="180">C2792-C2791</f>
        <v>8.7392967194318771E-2</v>
      </c>
      <c r="E2792" s="8">
        <f t="shared" ref="E2792:E2855" si="181">A2792/7</f>
        <v>398</v>
      </c>
    </row>
    <row r="2793" spans="1:5" ht="18.5" x14ac:dyDescent="0.45">
      <c r="A2793" s="3">
        <v>2787</v>
      </c>
      <c r="B2793" s="9">
        <f t="shared" si="179"/>
        <v>0.99998573798235879</v>
      </c>
      <c r="C2793" s="3">
        <f t="shared" si="175"/>
        <v>4441536.6538224444</v>
      </c>
      <c r="D2793" s="3">
        <f t="shared" si="180"/>
        <v>8.7247356772422791E-2</v>
      </c>
      <c r="E2793" s="8">
        <f t="shared" si="181"/>
        <v>398.14285714285717</v>
      </c>
    </row>
    <row r="2794" spans="1:5" ht="18.5" x14ac:dyDescent="0.45">
      <c r="A2794" s="3">
        <v>2788</v>
      </c>
      <c r="B2794" s="9">
        <f t="shared" si="179"/>
        <v>0.99998575759286668</v>
      </c>
      <c r="C2794" s="3">
        <f t="shared" si="175"/>
        <v>4441536.7409244766</v>
      </c>
      <c r="D2794" s="3">
        <f t="shared" si="180"/>
        <v>8.7102032266557217E-2</v>
      </c>
      <c r="E2794" s="8">
        <f t="shared" si="181"/>
        <v>398.28571428571428</v>
      </c>
    </row>
    <row r="2795" spans="1:5" ht="18.5" x14ac:dyDescent="0.45">
      <c r="A2795" s="3">
        <v>2789</v>
      </c>
      <c r="B2795" s="9">
        <f t="shared" si="179"/>
        <v>0.99998577717071979</v>
      </c>
      <c r="C2795" s="3">
        <f t="shared" si="175"/>
        <v>4441536.8278814694</v>
      </c>
      <c r="D2795" s="3">
        <f t="shared" si="180"/>
        <v>8.6956992745399475E-2</v>
      </c>
      <c r="E2795" s="8">
        <f t="shared" si="181"/>
        <v>398.42857142857144</v>
      </c>
    </row>
    <row r="2796" spans="1:5" ht="18.5" x14ac:dyDescent="0.45">
      <c r="A2796" s="3">
        <v>2790</v>
      </c>
      <c r="B2796" s="9">
        <f t="shared" si="179"/>
        <v>0.99998579671598253</v>
      </c>
      <c r="C2796" s="3">
        <f t="shared" si="175"/>
        <v>4441536.9146937076</v>
      </c>
      <c r="D2796" s="3">
        <f t="shared" si="180"/>
        <v>8.6812238208949566E-2</v>
      </c>
      <c r="E2796" s="8">
        <f t="shared" si="181"/>
        <v>398.57142857142856</v>
      </c>
    </row>
    <row r="2797" spans="1:5" ht="18.5" x14ac:dyDescent="0.45">
      <c r="A2797" s="3">
        <v>2791</v>
      </c>
      <c r="B2797" s="9">
        <f t="shared" si="179"/>
        <v>0.99998581622871863</v>
      </c>
      <c r="C2797" s="3">
        <f t="shared" si="175"/>
        <v>4441537.0013614763</v>
      </c>
      <c r="D2797" s="3">
        <f t="shared" si="180"/>
        <v>8.6667768657207489E-2</v>
      </c>
      <c r="E2797" s="8">
        <f t="shared" si="181"/>
        <v>398.71428571428572</v>
      </c>
    </row>
    <row r="2798" spans="1:5" ht="18.5" x14ac:dyDescent="0.45">
      <c r="A2798" s="3">
        <v>2792</v>
      </c>
      <c r="B2798" s="9">
        <f t="shared" si="179"/>
        <v>0.99998583570899202</v>
      </c>
      <c r="C2798" s="3">
        <f t="shared" si="175"/>
        <v>4441537.0878850594</v>
      </c>
      <c r="D2798" s="3">
        <f t="shared" si="180"/>
        <v>8.652358315885067E-2</v>
      </c>
      <c r="E2798" s="8">
        <f t="shared" si="181"/>
        <v>398.85714285714283</v>
      </c>
    </row>
    <row r="2799" spans="1:5" ht="18.5" x14ac:dyDescent="0.45">
      <c r="A2799" s="3">
        <v>2793</v>
      </c>
      <c r="B2799" s="9">
        <f t="shared" si="179"/>
        <v>0.99998585515686655</v>
      </c>
      <c r="C2799" s="3">
        <f t="shared" si="175"/>
        <v>4441537.1742647383</v>
      </c>
      <c r="D2799" s="3">
        <f t="shared" si="180"/>
        <v>8.6379678919911385E-2</v>
      </c>
      <c r="E2799" s="8">
        <f t="shared" si="181"/>
        <v>399</v>
      </c>
    </row>
    <row r="2800" spans="1:5" ht="18.5" x14ac:dyDescent="0.45">
      <c r="A2800" s="3">
        <v>2794</v>
      </c>
      <c r="B2800" s="9">
        <f t="shared" si="179"/>
        <v>0.99998587457240562</v>
      </c>
      <c r="C2800" s="3">
        <f t="shared" si="175"/>
        <v>4441537.2605007971</v>
      </c>
      <c r="D2800" s="3">
        <f t="shared" si="180"/>
        <v>8.6236058734357357E-2</v>
      </c>
      <c r="E2800" s="8">
        <f t="shared" si="181"/>
        <v>399.14285714285717</v>
      </c>
    </row>
    <row r="2801" spans="1:5" ht="18.5" x14ac:dyDescent="0.45">
      <c r="A2801" s="3">
        <v>2795</v>
      </c>
      <c r="B2801" s="9">
        <f t="shared" si="179"/>
        <v>0.99998589395567261</v>
      </c>
      <c r="C2801" s="3">
        <f t="shared" si="175"/>
        <v>4441537.346593515</v>
      </c>
      <c r="D2801" s="3">
        <f t="shared" si="180"/>
        <v>8.6092717945575714E-2</v>
      </c>
      <c r="E2801" s="8">
        <f t="shared" si="181"/>
        <v>399.28571428571428</v>
      </c>
    </row>
    <row r="2802" spans="1:5" ht="18.5" x14ac:dyDescent="0.45">
      <c r="A2802" s="3">
        <v>2796</v>
      </c>
      <c r="B2802" s="9">
        <f t="shared" si="179"/>
        <v>0.99998591330673103</v>
      </c>
      <c r="C2802" s="3">
        <f t="shared" si="175"/>
        <v>4441537.4325431762</v>
      </c>
      <c r="D2802" s="3">
        <f t="shared" si="180"/>
        <v>8.5949661210179329E-2</v>
      </c>
      <c r="E2802" s="8">
        <f t="shared" si="181"/>
        <v>399.42857142857144</v>
      </c>
    </row>
    <row r="2803" spans="1:5" ht="18.5" x14ac:dyDescent="0.45">
      <c r="A2803" s="3">
        <v>2797</v>
      </c>
      <c r="B2803" s="9">
        <f t="shared" si="179"/>
        <v>0.99998593262564384</v>
      </c>
      <c r="C2803" s="3">
        <f t="shared" si="175"/>
        <v>4441537.5183500601</v>
      </c>
      <c r="D2803" s="3">
        <f t="shared" si="180"/>
        <v>8.5806883871555328E-2</v>
      </c>
      <c r="E2803" s="8">
        <f t="shared" si="181"/>
        <v>399.57142857142856</v>
      </c>
    </row>
    <row r="2804" spans="1:5" ht="18.5" x14ac:dyDescent="0.45">
      <c r="A2804" s="3">
        <v>2798</v>
      </c>
      <c r="B2804" s="9">
        <f t="shared" si="179"/>
        <v>0.99998595191247397</v>
      </c>
      <c r="C2804" s="3">
        <f t="shared" si="175"/>
        <v>4441537.6040144442</v>
      </c>
      <c r="D2804" s="3">
        <f t="shared" si="180"/>
        <v>8.5664384067058563E-2</v>
      </c>
      <c r="E2804" s="8">
        <f t="shared" si="181"/>
        <v>399.71428571428572</v>
      </c>
    </row>
    <row r="2805" spans="1:5" ht="18.5" x14ac:dyDescent="0.45">
      <c r="A2805" s="3">
        <v>2799</v>
      </c>
      <c r="B2805" s="9">
        <f t="shared" si="179"/>
        <v>0.99998597116728449</v>
      </c>
      <c r="C2805" s="3">
        <f t="shared" si="175"/>
        <v>4441537.6895366106</v>
      </c>
      <c r="D2805" s="3">
        <f t="shared" si="180"/>
        <v>8.5522166453301907E-2</v>
      </c>
      <c r="E2805" s="8">
        <f t="shared" si="181"/>
        <v>399.85714285714283</v>
      </c>
    </row>
    <row r="2806" spans="1:5" ht="18.5" x14ac:dyDescent="0.45">
      <c r="A2806" s="3">
        <v>2800</v>
      </c>
      <c r="B2806" s="9">
        <f t="shared" si="179"/>
        <v>0.99998599039013791</v>
      </c>
      <c r="C2806" s="3">
        <f t="shared" si="175"/>
        <v>4441537.774916837</v>
      </c>
      <c r="D2806" s="3">
        <f t="shared" si="180"/>
        <v>8.5380226373672485E-2</v>
      </c>
      <c r="E2806" s="8">
        <f t="shared" si="181"/>
        <v>400</v>
      </c>
    </row>
    <row r="2807" spans="1:5" ht="18.5" x14ac:dyDescent="0.45">
      <c r="A2807" s="3">
        <v>2801</v>
      </c>
      <c r="B2807" s="9">
        <f t="shared" si="179"/>
        <v>0.99998600958109696</v>
      </c>
      <c r="C2807" s="3">
        <f t="shared" si="175"/>
        <v>4441537.8601553999</v>
      </c>
      <c r="D2807" s="3">
        <f t="shared" si="180"/>
        <v>8.5238562896847725E-2</v>
      </c>
      <c r="E2807" s="8">
        <f t="shared" si="181"/>
        <v>400.14285714285717</v>
      </c>
    </row>
    <row r="2808" spans="1:5" ht="18.5" x14ac:dyDescent="0.45">
      <c r="A2808" s="3">
        <v>2802</v>
      </c>
      <c r="B2808" s="9">
        <f t="shared" si="179"/>
        <v>0.99998602874022391</v>
      </c>
      <c r="C2808" s="3">
        <f t="shared" si="175"/>
        <v>4441537.9452525787</v>
      </c>
      <c r="D2808" s="3">
        <f t="shared" si="180"/>
        <v>8.5097178816795349E-2</v>
      </c>
      <c r="E2808" s="8">
        <f t="shared" si="181"/>
        <v>400.28571428571428</v>
      </c>
    </row>
    <row r="2809" spans="1:5" ht="18.5" x14ac:dyDescent="0.45">
      <c r="A2809" s="3">
        <v>2803</v>
      </c>
      <c r="B2809" s="9">
        <f t="shared" si="179"/>
        <v>0.99998604786758116</v>
      </c>
      <c r="C2809" s="3">
        <f t="shared" si="175"/>
        <v>4441538.0302086482</v>
      </c>
      <c r="D2809" s="3">
        <f t="shared" si="180"/>
        <v>8.4956069476902485E-2</v>
      </c>
      <c r="E2809" s="8">
        <f t="shared" si="181"/>
        <v>400.42857142857144</v>
      </c>
    </row>
    <row r="2810" spans="1:5" ht="18.5" x14ac:dyDescent="0.45">
      <c r="A2810" s="3">
        <v>2804</v>
      </c>
      <c r="B2810" s="9">
        <f t="shared" si="179"/>
        <v>0.99998606696323067</v>
      </c>
      <c r="C2810" s="3">
        <f t="shared" si="175"/>
        <v>4441538.1150238849</v>
      </c>
      <c r="D2810" s="3">
        <f t="shared" si="180"/>
        <v>8.4815236739814281E-2</v>
      </c>
      <c r="E2810" s="8">
        <f t="shared" si="181"/>
        <v>400.57142857142856</v>
      </c>
    </row>
    <row r="2811" spans="1:5" ht="18.5" x14ac:dyDescent="0.45">
      <c r="A2811" s="3">
        <v>2805</v>
      </c>
      <c r="B2811" s="9">
        <f t="shared" si="179"/>
        <v>0.99998608602723471</v>
      </c>
      <c r="C2811" s="3">
        <f t="shared" si="175"/>
        <v>4441538.1996985655</v>
      </c>
      <c r="D2811" s="3">
        <f t="shared" si="180"/>
        <v>8.4674680605530739E-2</v>
      </c>
      <c r="E2811" s="8">
        <f t="shared" si="181"/>
        <v>400.71428571428572</v>
      </c>
    </row>
    <row r="2812" spans="1:5" ht="18.5" x14ac:dyDescent="0.45">
      <c r="A2812" s="3">
        <v>2806</v>
      </c>
      <c r="B2812" s="9">
        <f t="shared" si="179"/>
        <v>0.99998610505965491</v>
      </c>
      <c r="C2812" s="3">
        <f t="shared" si="175"/>
        <v>4441538.2842329629</v>
      </c>
      <c r="D2812" s="3">
        <f t="shared" si="180"/>
        <v>8.4534397348761559E-2</v>
      </c>
      <c r="E2812" s="8">
        <f t="shared" si="181"/>
        <v>400.85714285714283</v>
      </c>
    </row>
    <row r="2813" spans="1:5" ht="18.5" x14ac:dyDescent="0.45">
      <c r="A2813" s="3">
        <v>2807</v>
      </c>
      <c r="B2813" s="9">
        <f t="shared" si="179"/>
        <v>0.99998612406055321</v>
      </c>
      <c r="C2813" s="3">
        <f t="shared" si="175"/>
        <v>4441538.3686273536</v>
      </c>
      <c r="D2813" s="3">
        <f t="shared" si="180"/>
        <v>8.4394390694797039E-2</v>
      </c>
      <c r="E2813" s="8">
        <f t="shared" si="181"/>
        <v>401</v>
      </c>
    </row>
    <row r="2814" spans="1:5" ht="18.5" x14ac:dyDescent="0.45">
      <c r="A2814" s="3">
        <v>2808</v>
      </c>
      <c r="B2814" s="9">
        <f t="shared" si="179"/>
        <v>0.999986143029991</v>
      </c>
      <c r="C2814" s="3">
        <f t="shared" si="175"/>
        <v>4441538.4528820077</v>
      </c>
      <c r="D2814" s="3">
        <f t="shared" si="180"/>
        <v>8.4254654124379158E-2</v>
      </c>
      <c r="E2814" s="8">
        <f t="shared" si="181"/>
        <v>401.14285714285717</v>
      </c>
    </row>
    <row r="2815" spans="1:5" ht="18.5" x14ac:dyDescent="0.45">
      <c r="A2815" s="3">
        <v>2809</v>
      </c>
      <c r="B2815" s="9">
        <f t="shared" si="179"/>
        <v>0.9999861619680297</v>
      </c>
      <c r="C2815" s="3">
        <f t="shared" si="175"/>
        <v>4441538.5369972009</v>
      </c>
      <c r="D2815" s="3">
        <f t="shared" si="180"/>
        <v>8.4115193225443363E-2</v>
      </c>
      <c r="E2815" s="8">
        <f t="shared" si="181"/>
        <v>401.28571428571428</v>
      </c>
    </row>
    <row r="2816" spans="1:5" ht="18.5" x14ac:dyDescent="0.45">
      <c r="A2816" s="3">
        <v>2810</v>
      </c>
      <c r="B2816" s="9">
        <f t="shared" si="179"/>
        <v>0.99998618087473079</v>
      </c>
      <c r="C2816" s="3">
        <f t="shared" si="175"/>
        <v>4441538.6209732043</v>
      </c>
      <c r="D2816" s="3">
        <f t="shared" si="180"/>
        <v>8.3976003341376781E-2</v>
      </c>
      <c r="E2816" s="8">
        <f t="shared" si="181"/>
        <v>401.42857142857144</v>
      </c>
    </row>
    <row r="2817" spans="1:5" ht="18.5" x14ac:dyDescent="0.45">
      <c r="A2817" s="3">
        <v>2811</v>
      </c>
      <c r="B2817" s="9">
        <f t="shared" si="179"/>
        <v>0.99998619975015535</v>
      </c>
      <c r="C2817" s="3">
        <f t="shared" si="175"/>
        <v>4441538.7048102897</v>
      </c>
      <c r="D2817" s="3">
        <f t="shared" si="180"/>
        <v>8.3837085403501987E-2</v>
      </c>
      <c r="E2817" s="8">
        <f t="shared" si="181"/>
        <v>401.57142857142856</v>
      </c>
    </row>
    <row r="2818" spans="1:5" ht="18.5" x14ac:dyDescent="0.45">
      <c r="A2818" s="3">
        <v>2812</v>
      </c>
      <c r="B2818" s="9">
        <f t="shared" si="179"/>
        <v>0.99998621859436443</v>
      </c>
      <c r="C2818" s="3">
        <f t="shared" si="175"/>
        <v>4441538.7885087291</v>
      </c>
      <c r="D2818" s="3">
        <f t="shared" si="180"/>
        <v>8.3698439411818981E-2</v>
      </c>
      <c r="E2818" s="8">
        <f t="shared" si="181"/>
        <v>401.71428571428572</v>
      </c>
    </row>
    <row r="2819" spans="1:5" ht="18.5" x14ac:dyDescent="0.45">
      <c r="A2819" s="3">
        <v>2813</v>
      </c>
      <c r="B2819" s="9">
        <f t="shared" si="179"/>
        <v>0.99998623740741877</v>
      </c>
      <c r="C2819" s="3">
        <f t="shared" si="175"/>
        <v>4441538.8720687917</v>
      </c>
      <c r="D2819" s="3">
        <f t="shared" si="180"/>
        <v>8.3560062572360039E-2</v>
      </c>
      <c r="E2819" s="8">
        <f t="shared" si="181"/>
        <v>401.85714285714283</v>
      </c>
    </row>
    <row r="2820" spans="1:5" ht="18.5" x14ac:dyDescent="0.45">
      <c r="A2820" s="3">
        <v>2814</v>
      </c>
      <c r="B2820" s="9">
        <f t="shared" si="179"/>
        <v>0.99998625618937931</v>
      </c>
      <c r="C2820" s="3">
        <f t="shared" si="175"/>
        <v>4441538.9554907475</v>
      </c>
      <c r="D2820" s="3">
        <f t="shared" si="180"/>
        <v>8.3421955816447735E-2</v>
      </c>
      <c r="E2820" s="8">
        <f t="shared" si="181"/>
        <v>402</v>
      </c>
    </row>
    <row r="2821" spans="1:5" ht="18.5" x14ac:dyDescent="0.45">
      <c r="A2821" s="3">
        <v>2815</v>
      </c>
      <c r="B2821" s="9">
        <f t="shared" si="179"/>
        <v>0.99998627494030667</v>
      </c>
      <c r="C2821" s="3">
        <f t="shared" si="175"/>
        <v>4441539.0387748657</v>
      </c>
      <c r="D2821" s="3">
        <f t="shared" si="180"/>
        <v>8.3284118212759495E-2</v>
      </c>
      <c r="E2821" s="8">
        <f t="shared" si="181"/>
        <v>402.14285714285717</v>
      </c>
    </row>
    <row r="2822" spans="1:5" ht="18.5" x14ac:dyDescent="0.45">
      <c r="A2822" s="3">
        <v>2816</v>
      </c>
      <c r="B2822" s="9">
        <f t="shared" si="179"/>
        <v>0.99998629366026126</v>
      </c>
      <c r="C2822" s="3">
        <f t="shared" si="175"/>
        <v>4441539.1219214164</v>
      </c>
      <c r="D2822" s="3">
        <f t="shared" si="180"/>
        <v>8.3146550692617893E-2</v>
      </c>
      <c r="E2822" s="8">
        <f t="shared" si="181"/>
        <v>402.28571428571428</v>
      </c>
    </row>
    <row r="2823" spans="1:5" ht="18.5" x14ac:dyDescent="0.45">
      <c r="A2823" s="3">
        <v>2817</v>
      </c>
      <c r="B2823" s="9">
        <f t="shared" si="179"/>
        <v>0.99998631234930335</v>
      </c>
      <c r="C2823" s="3">
        <f t="shared" si="175"/>
        <v>4441539.2049306659</v>
      </c>
      <c r="D2823" s="3">
        <f t="shared" si="180"/>
        <v>8.3009249530732632E-2</v>
      </c>
      <c r="E2823" s="8">
        <f t="shared" si="181"/>
        <v>402.42857142857144</v>
      </c>
    </row>
    <row r="2824" spans="1:5" ht="18.5" x14ac:dyDescent="0.45">
      <c r="A2824" s="3">
        <v>2818</v>
      </c>
      <c r="B2824" s="9">
        <f t="shared" si="179"/>
        <v>0.99998633100749323</v>
      </c>
      <c r="C2824" s="3">
        <f t="shared" ref="C2824:C2887" si="182">$E$3*B2824</f>
        <v>4441539.2878028816</v>
      </c>
      <c r="D2824" s="3">
        <f t="shared" si="180"/>
        <v>8.2872215658426285E-2</v>
      </c>
      <c r="E2824" s="8">
        <f t="shared" si="181"/>
        <v>402.57142857142856</v>
      </c>
    </row>
    <row r="2825" spans="1:5" ht="18.5" x14ac:dyDescent="0.45">
      <c r="A2825" s="3">
        <v>2819</v>
      </c>
      <c r="B2825" s="9">
        <f t="shared" si="179"/>
        <v>0.99998634963489097</v>
      </c>
      <c r="C2825" s="3">
        <f t="shared" si="182"/>
        <v>4441539.3705383316</v>
      </c>
      <c r="D2825" s="3">
        <f t="shared" si="180"/>
        <v>8.2735450007021427E-2</v>
      </c>
      <c r="E2825" s="8">
        <f t="shared" si="181"/>
        <v>402.71428571428572</v>
      </c>
    </row>
    <row r="2826" spans="1:5" ht="18.5" x14ac:dyDescent="0.45">
      <c r="A2826" s="3">
        <v>2820</v>
      </c>
      <c r="B2826" s="9">
        <f t="shared" si="179"/>
        <v>0.99998636823155662</v>
      </c>
      <c r="C2826" s="3">
        <f t="shared" si="182"/>
        <v>4441539.4531372823</v>
      </c>
      <c r="D2826" s="3">
        <f t="shared" si="180"/>
        <v>8.259895071387291E-2</v>
      </c>
      <c r="E2826" s="8">
        <f t="shared" si="181"/>
        <v>402.85714285714283</v>
      </c>
    </row>
    <row r="2827" spans="1:5" ht="18.5" x14ac:dyDescent="0.45">
      <c r="A2827" s="3">
        <v>2821</v>
      </c>
      <c r="B2827" s="9">
        <f t="shared" si="179"/>
        <v>0.9999863867975497</v>
      </c>
      <c r="C2827" s="3">
        <f t="shared" si="182"/>
        <v>4441539.5355999963</v>
      </c>
      <c r="D2827" s="3">
        <f t="shared" si="180"/>
        <v>8.2462714053690434E-2</v>
      </c>
      <c r="E2827" s="8">
        <f t="shared" si="181"/>
        <v>403</v>
      </c>
    </row>
    <row r="2828" spans="1:5" ht="18.5" x14ac:dyDescent="0.45">
      <c r="A2828" s="3">
        <v>2822</v>
      </c>
      <c r="B2828" s="9">
        <f t="shared" si="179"/>
        <v>0.99998640533293015</v>
      </c>
      <c r="C2828" s="3">
        <f t="shared" si="182"/>
        <v>4441539.6179267429</v>
      </c>
      <c r="D2828" s="3">
        <f t="shared" si="180"/>
        <v>8.2326746545732021E-2</v>
      </c>
      <c r="E2828" s="8">
        <f t="shared" si="181"/>
        <v>403.14285714285717</v>
      </c>
    </row>
    <row r="2829" spans="1:5" ht="18.5" x14ac:dyDescent="0.45">
      <c r="A2829" s="3">
        <v>2823</v>
      </c>
      <c r="B2829" s="9">
        <f t="shared" si="179"/>
        <v>0.99998642383775738</v>
      </c>
      <c r="C2829" s="3">
        <f t="shared" si="182"/>
        <v>4441539.7001177836</v>
      </c>
      <c r="D2829" s="3">
        <f t="shared" si="180"/>
        <v>8.2191040739417076E-2</v>
      </c>
      <c r="E2829" s="8">
        <f t="shared" si="181"/>
        <v>403.28571428571428</v>
      </c>
    </row>
    <row r="2830" spans="1:5" ht="18.5" x14ac:dyDescent="0.45">
      <c r="A2830" s="3">
        <v>2824</v>
      </c>
      <c r="B2830" s="9">
        <f t="shared" si="179"/>
        <v>0.99998644231209077</v>
      </c>
      <c r="C2830" s="3">
        <f t="shared" si="182"/>
        <v>4441539.7821733821</v>
      </c>
      <c r="D2830" s="3">
        <f t="shared" si="180"/>
        <v>8.2055598497390747E-2</v>
      </c>
      <c r="E2830" s="8">
        <f t="shared" si="181"/>
        <v>403.42857142857144</v>
      </c>
    </row>
    <row r="2831" spans="1:5" ht="18.5" x14ac:dyDescent="0.45">
      <c r="A2831" s="3">
        <v>2825</v>
      </c>
      <c r="B2831" s="9">
        <f t="shared" si="179"/>
        <v>0.99998646075598963</v>
      </c>
      <c r="C2831" s="3">
        <f t="shared" si="182"/>
        <v>4441539.8640938038</v>
      </c>
      <c r="D2831" s="3">
        <f t="shared" si="180"/>
        <v>8.1920421682298183E-2</v>
      </c>
      <c r="E2831" s="8">
        <f t="shared" si="181"/>
        <v>403.57142857142856</v>
      </c>
    </row>
    <row r="2832" spans="1:5" ht="18.5" x14ac:dyDescent="0.45">
      <c r="A2832" s="3">
        <v>2826</v>
      </c>
      <c r="B2832" s="9">
        <f t="shared" si="179"/>
        <v>0.99998647916951311</v>
      </c>
      <c r="C2832" s="3">
        <f t="shared" si="182"/>
        <v>4441539.9458793094</v>
      </c>
      <c r="D2832" s="3">
        <f t="shared" si="180"/>
        <v>8.1785505637526512E-2</v>
      </c>
      <c r="E2832" s="8">
        <f t="shared" si="181"/>
        <v>403.71428571428572</v>
      </c>
    </row>
    <row r="2833" spans="1:5" ht="18.5" x14ac:dyDescent="0.45">
      <c r="A2833" s="3">
        <v>2827</v>
      </c>
      <c r="B2833" s="9">
        <f t="shared" si="179"/>
        <v>0.99998649755272007</v>
      </c>
      <c r="C2833" s="3">
        <f t="shared" si="182"/>
        <v>4441540.0275301617</v>
      </c>
      <c r="D2833" s="3">
        <f t="shared" si="180"/>
        <v>8.1650852225720882E-2</v>
      </c>
      <c r="E2833" s="8">
        <f t="shared" si="181"/>
        <v>403.85714285714283</v>
      </c>
    </row>
    <row r="2834" spans="1:5" ht="18.5" x14ac:dyDescent="0.45">
      <c r="A2834" s="3">
        <v>2828</v>
      </c>
      <c r="B2834" s="9">
        <f t="shared" si="179"/>
        <v>0.99998651590566967</v>
      </c>
      <c r="C2834" s="3">
        <f t="shared" si="182"/>
        <v>4441540.1090466222</v>
      </c>
      <c r="D2834" s="3">
        <f t="shared" si="180"/>
        <v>8.151646051555872E-2</v>
      </c>
      <c r="E2834" s="8">
        <f t="shared" si="181"/>
        <v>404</v>
      </c>
    </row>
    <row r="2835" spans="1:5" ht="18.5" x14ac:dyDescent="0.45">
      <c r="A2835" s="3">
        <v>2829</v>
      </c>
      <c r="B2835" s="9">
        <f t="shared" si="179"/>
        <v>0.99998653422842032</v>
      </c>
      <c r="C2835" s="3">
        <f t="shared" si="182"/>
        <v>4441540.1904289518</v>
      </c>
      <c r="D2835" s="3">
        <f t="shared" si="180"/>
        <v>8.1382329575717449E-2</v>
      </c>
      <c r="E2835" s="8">
        <f t="shared" si="181"/>
        <v>404.14285714285717</v>
      </c>
    </row>
    <row r="2836" spans="1:5" ht="18.5" x14ac:dyDescent="0.45">
      <c r="A2836" s="3">
        <v>2830</v>
      </c>
      <c r="B2836" s="9">
        <f t="shared" si="179"/>
        <v>0.99998655252103086</v>
      </c>
      <c r="C2836" s="3">
        <f t="shared" si="182"/>
        <v>4441540.2716774102</v>
      </c>
      <c r="D2836" s="3">
        <f t="shared" si="180"/>
        <v>8.1248458474874496E-2</v>
      </c>
      <c r="E2836" s="8">
        <f t="shared" si="181"/>
        <v>404.28571428571428</v>
      </c>
    </row>
    <row r="2837" spans="1:5" ht="18.5" x14ac:dyDescent="0.45">
      <c r="A2837" s="3">
        <v>2831</v>
      </c>
      <c r="B2837" s="9">
        <f t="shared" si="179"/>
        <v>0.99998657078355957</v>
      </c>
      <c r="C2837" s="3">
        <f t="shared" si="182"/>
        <v>4441540.3527922584</v>
      </c>
      <c r="D2837" s="3">
        <f t="shared" si="180"/>
        <v>8.1114848144352436E-2</v>
      </c>
      <c r="E2837" s="8">
        <f t="shared" si="181"/>
        <v>404.42857142857144</v>
      </c>
    </row>
    <row r="2838" spans="1:5" ht="18.5" x14ac:dyDescent="0.45">
      <c r="A2838" s="3">
        <v>2832</v>
      </c>
      <c r="B2838" s="9">
        <f t="shared" si="179"/>
        <v>0.99998658901606496</v>
      </c>
      <c r="C2838" s="3">
        <f t="shared" si="182"/>
        <v>4441540.4337737542</v>
      </c>
      <c r="D2838" s="3">
        <f t="shared" si="180"/>
        <v>8.0981495790183544E-2</v>
      </c>
      <c r="E2838" s="8">
        <f t="shared" si="181"/>
        <v>404.57142857142856</v>
      </c>
    </row>
    <row r="2839" spans="1:5" ht="18.5" x14ac:dyDescent="0.45">
      <c r="A2839" s="3">
        <v>2833</v>
      </c>
      <c r="B2839" s="9">
        <f t="shared" si="179"/>
        <v>0.99998660721860522</v>
      </c>
      <c r="C2839" s="3">
        <f t="shared" si="182"/>
        <v>4441540.5146221565</v>
      </c>
      <c r="D2839" s="3">
        <f t="shared" si="180"/>
        <v>8.0848402343690395E-2</v>
      </c>
      <c r="E2839" s="8">
        <f t="shared" si="181"/>
        <v>404.71428571428572</v>
      </c>
    </row>
    <row r="2840" spans="1:5" ht="18.5" x14ac:dyDescent="0.45">
      <c r="A2840" s="3">
        <v>2834</v>
      </c>
      <c r="B2840" s="9">
        <f t="shared" si="179"/>
        <v>0.99998662539123828</v>
      </c>
      <c r="C2840" s="3">
        <f t="shared" si="182"/>
        <v>4441540.5953377243</v>
      </c>
      <c r="D2840" s="3">
        <f t="shared" si="180"/>
        <v>8.071556780487299E-2</v>
      </c>
      <c r="E2840" s="8">
        <f t="shared" si="181"/>
        <v>404.85714285714283</v>
      </c>
    </row>
    <row r="2841" spans="1:5" ht="18.5" x14ac:dyDescent="0.45">
      <c r="A2841" s="3">
        <v>2835</v>
      </c>
      <c r="B2841" s="9">
        <f t="shared" si="179"/>
        <v>0.99998664353402222</v>
      </c>
      <c r="C2841" s="3">
        <f t="shared" si="182"/>
        <v>4441540.6759207128</v>
      </c>
      <c r="D2841" s="3">
        <f t="shared" si="180"/>
        <v>8.0582988448441029E-2</v>
      </c>
      <c r="E2841" s="8">
        <f t="shared" si="181"/>
        <v>405</v>
      </c>
    </row>
    <row r="2842" spans="1:5" ht="18.5" x14ac:dyDescent="0.45">
      <c r="A2842" s="3">
        <v>2836</v>
      </c>
      <c r="B2842" s="9">
        <f t="shared" si="179"/>
        <v>0.99998666164701489</v>
      </c>
      <c r="C2842" s="3">
        <f t="shared" si="182"/>
        <v>4441540.7563713817</v>
      </c>
      <c r="D2842" s="3">
        <f t="shared" si="180"/>
        <v>8.0450668931007385E-2</v>
      </c>
      <c r="E2842" s="8">
        <f t="shared" si="181"/>
        <v>405.14285714285717</v>
      </c>
    </row>
    <row r="2843" spans="1:5" ht="18.5" x14ac:dyDescent="0.45">
      <c r="A2843" s="3">
        <v>2837</v>
      </c>
      <c r="B2843" s="9">
        <f t="shared" si="179"/>
        <v>0.99998667973027389</v>
      </c>
      <c r="C2843" s="3">
        <f t="shared" si="182"/>
        <v>4441540.8366899844</v>
      </c>
      <c r="D2843" s="3">
        <f t="shared" si="180"/>
        <v>8.0318602733314037E-2</v>
      </c>
      <c r="E2843" s="8">
        <f t="shared" si="181"/>
        <v>405.28571428571428</v>
      </c>
    </row>
    <row r="2844" spans="1:5" ht="18.5" x14ac:dyDescent="0.45">
      <c r="A2844" s="3">
        <v>2838</v>
      </c>
      <c r="B2844" s="9">
        <f t="shared" si="179"/>
        <v>0.99998669778385685</v>
      </c>
      <c r="C2844" s="3">
        <f t="shared" si="182"/>
        <v>4441540.9168767789</v>
      </c>
      <c r="D2844" s="3">
        <f t="shared" si="180"/>
        <v>8.0186794511973858E-2</v>
      </c>
      <c r="E2844" s="8">
        <f t="shared" si="181"/>
        <v>405.42857142857144</v>
      </c>
    </row>
    <row r="2845" spans="1:5" ht="18.5" x14ac:dyDescent="0.45">
      <c r="A2845" s="3">
        <v>2839</v>
      </c>
      <c r="B2845" s="9">
        <f t="shared" si="179"/>
        <v>0.99998671580782117</v>
      </c>
      <c r="C2845" s="3">
        <f t="shared" si="182"/>
        <v>4441540.9969320185</v>
      </c>
      <c r="D2845" s="3">
        <f t="shared" si="180"/>
        <v>8.0055239610373974E-2</v>
      </c>
      <c r="E2845" s="8">
        <f t="shared" si="181"/>
        <v>405.57142857142856</v>
      </c>
    </row>
    <row r="2846" spans="1:5" ht="18.5" x14ac:dyDescent="0.45">
      <c r="A2846" s="3">
        <v>2840</v>
      </c>
      <c r="B2846" s="9">
        <f t="shared" si="179"/>
        <v>0.99998673380222414</v>
      </c>
      <c r="C2846" s="3">
        <f t="shared" si="182"/>
        <v>4441541.0768559584</v>
      </c>
      <c r="D2846" s="3">
        <f t="shared" si="180"/>
        <v>7.9923939891159534E-2</v>
      </c>
      <c r="E2846" s="8">
        <f t="shared" si="181"/>
        <v>405.71428571428572</v>
      </c>
    </row>
    <row r="2847" spans="1:5" ht="18.5" x14ac:dyDescent="0.45">
      <c r="A2847" s="3">
        <v>2841</v>
      </c>
      <c r="B2847" s="9">
        <f t="shared" si="179"/>
        <v>0.99998675176712293</v>
      </c>
      <c r="C2847" s="3">
        <f t="shared" si="182"/>
        <v>4441541.1566488529</v>
      </c>
      <c r="D2847" s="3">
        <f t="shared" si="180"/>
        <v>7.9792894423007965E-2</v>
      </c>
      <c r="E2847" s="8">
        <f t="shared" si="181"/>
        <v>405.85714285714283</v>
      </c>
    </row>
    <row r="2848" spans="1:5" ht="18.5" x14ac:dyDescent="0.45">
      <c r="A2848" s="3">
        <v>2842</v>
      </c>
      <c r="B2848" s="9">
        <f t="shared" si="179"/>
        <v>0.9999867697025745</v>
      </c>
      <c r="C2848" s="3">
        <f t="shared" si="182"/>
        <v>4441541.2363109551</v>
      </c>
      <c r="D2848" s="3">
        <f t="shared" si="180"/>
        <v>7.9662102274596691E-2</v>
      </c>
      <c r="E2848" s="8">
        <f t="shared" si="181"/>
        <v>406</v>
      </c>
    </row>
    <row r="2849" spans="1:5" ht="18.5" x14ac:dyDescent="0.45">
      <c r="A2849" s="3">
        <v>2843</v>
      </c>
      <c r="B2849" s="9">
        <f t="shared" si="179"/>
        <v>0.99998678760863602</v>
      </c>
      <c r="C2849" s="3">
        <f t="shared" si="182"/>
        <v>4441541.3158425177</v>
      </c>
      <c r="D2849" s="3">
        <f t="shared" si="180"/>
        <v>7.9531562514603138E-2</v>
      </c>
      <c r="E2849" s="8">
        <f t="shared" si="181"/>
        <v>406.14285714285717</v>
      </c>
    </row>
    <row r="2850" spans="1:5" ht="18.5" x14ac:dyDescent="0.45">
      <c r="A2850" s="3">
        <v>2844</v>
      </c>
      <c r="B2850" s="9">
        <f t="shared" si="179"/>
        <v>0.99998680548536412</v>
      </c>
      <c r="C2850" s="3">
        <f t="shared" si="182"/>
        <v>4441541.3952437928</v>
      </c>
      <c r="D2850" s="3">
        <f t="shared" si="180"/>
        <v>7.9401275143027306E-2</v>
      </c>
      <c r="E2850" s="8">
        <f t="shared" si="181"/>
        <v>406.28571428571428</v>
      </c>
    </row>
    <row r="2851" spans="1:5" ht="18.5" x14ac:dyDescent="0.45">
      <c r="A2851" s="3">
        <v>2845</v>
      </c>
      <c r="B2851" s="9">
        <f t="shared" si="179"/>
        <v>0.99998682333281552</v>
      </c>
      <c r="C2851" s="3">
        <f t="shared" si="182"/>
        <v>4441541.4745150339</v>
      </c>
      <c r="D2851" s="3">
        <f t="shared" si="180"/>
        <v>7.9271241091191769E-2</v>
      </c>
      <c r="E2851" s="8">
        <f t="shared" si="181"/>
        <v>406.42857142857144</v>
      </c>
    </row>
    <row r="2852" spans="1:5" ht="18.5" x14ac:dyDescent="0.45">
      <c r="A2852" s="3">
        <v>2846</v>
      </c>
      <c r="B2852" s="9">
        <f t="shared" si="179"/>
        <v>0.99998684115104663</v>
      </c>
      <c r="C2852" s="3">
        <f t="shared" si="182"/>
        <v>4441541.5536564887</v>
      </c>
      <c r="D2852" s="3">
        <f t="shared" si="180"/>
        <v>7.9141454771161079E-2</v>
      </c>
      <c r="E2852" s="8">
        <f t="shared" si="181"/>
        <v>406.57142857142856</v>
      </c>
    </row>
    <row r="2853" spans="1:5" ht="18.5" x14ac:dyDescent="0.45">
      <c r="A2853" s="3">
        <v>2847</v>
      </c>
      <c r="B2853" s="9">
        <f t="shared" si="179"/>
        <v>0.99998685894011408</v>
      </c>
      <c r="C2853" s="3">
        <f t="shared" si="182"/>
        <v>4441541.6326684104</v>
      </c>
      <c r="D2853" s="3">
        <f t="shared" si="180"/>
        <v>7.9011921770870686E-2</v>
      </c>
      <c r="E2853" s="8">
        <f t="shared" si="181"/>
        <v>406.71428571428572</v>
      </c>
    </row>
    <row r="2854" spans="1:5" ht="18.5" x14ac:dyDescent="0.45">
      <c r="A2854" s="3">
        <v>2848</v>
      </c>
      <c r="B2854" s="9">
        <f t="shared" si="179"/>
        <v>0.99998687670007391</v>
      </c>
      <c r="C2854" s="3">
        <f t="shared" si="182"/>
        <v>4441541.7115510479</v>
      </c>
      <c r="D2854" s="3">
        <f t="shared" si="180"/>
        <v>7.8882637433707714E-2</v>
      </c>
      <c r="E2854" s="8">
        <f t="shared" si="181"/>
        <v>406.85714285714283</v>
      </c>
    </row>
    <row r="2855" spans="1:5" ht="18.5" x14ac:dyDescent="0.45">
      <c r="A2855" s="3">
        <v>2849</v>
      </c>
      <c r="B2855" s="9">
        <f t="shared" si="179"/>
        <v>0.99998689443098254</v>
      </c>
      <c r="C2855" s="3">
        <f t="shared" si="182"/>
        <v>4441541.7903046524</v>
      </c>
      <c r="D2855" s="3">
        <f t="shared" si="180"/>
        <v>7.8753604553639889E-2</v>
      </c>
      <c r="E2855" s="8">
        <f t="shared" si="181"/>
        <v>407</v>
      </c>
    </row>
    <row r="2856" spans="1:5" ht="18.5" x14ac:dyDescent="0.45">
      <c r="A2856" s="3">
        <v>2850</v>
      </c>
      <c r="B2856" s="9">
        <f t="shared" ref="B2856:B2919" si="183">LOGNORMDIST(A2856,$A$3,$B$3)</f>
        <v>0.99998691213289581</v>
      </c>
      <c r="C2856" s="3">
        <f t="shared" si="182"/>
        <v>4441541.86892947</v>
      </c>
      <c r="D2856" s="3">
        <f t="shared" ref="D2856:D2919" si="184">C2856-C2855</f>
        <v>7.8624817542731762E-2</v>
      </c>
      <c r="E2856" s="8">
        <f t="shared" ref="E2856:E2919" si="185">A2856/7</f>
        <v>407.14285714285717</v>
      </c>
    </row>
    <row r="2857" spans="1:5" ht="18.5" x14ac:dyDescent="0.45">
      <c r="A2857" s="3">
        <v>2851</v>
      </c>
      <c r="B2857" s="9">
        <f t="shared" si="183"/>
        <v>0.99998692980586978</v>
      </c>
      <c r="C2857" s="3">
        <f t="shared" si="182"/>
        <v>4441541.947425751</v>
      </c>
      <c r="D2857" s="3">
        <f t="shared" si="184"/>
        <v>7.8496281057596207E-2</v>
      </c>
      <c r="E2857" s="8">
        <f t="shared" si="185"/>
        <v>407.28571428571428</v>
      </c>
    </row>
    <row r="2858" spans="1:5" ht="18.5" x14ac:dyDescent="0.45">
      <c r="A2858" s="3">
        <v>2852</v>
      </c>
      <c r="B2858" s="9">
        <f t="shared" si="183"/>
        <v>0.99998694744996008</v>
      </c>
      <c r="C2858" s="3">
        <f t="shared" si="182"/>
        <v>4441542.0257937424</v>
      </c>
      <c r="D2858" s="3">
        <f t="shared" si="184"/>
        <v>7.8367991372942924E-2</v>
      </c>
      <c r="E2858" s="8">
        <f t="shared" si="185"/>
        <v>407.42857142857144</v>
      </c>
    </row>
    <row r="2859" spans="1:5" ht="18.5" x14ac:dyDescent="0.45">
      <c r="A2859" s="3">
        <v>2853</v>
      </c>
      <c r="B2859" s="9">
        <f t="shared" si="183"/>
        <v>0.99998696506522244</v>
      </c>
      <c r="C2859" s="3">
        <f t="shared" si="182"/>
        <v>4441542.1040336918</v>
      </c>
      <c r="D2859" s="3">
        <f t="shared" si="184"/>
        <v>7.823994942009449E-2</v>
      </c>
      <c r="E2859" s="8">
        <f t="shared" si="185"/>
        <v>407.57142857142856</v>
      </c>
    </row>
    <row r="2860" spans="1:5" ht="18.5" x14ac:dyDescent="0.45">
      <c r="A2860" s="3">
        <v>2854</v>
      </c>
      <c r="B2860" s="9">
        <f t="shared" si="183"/>
        <v>0.99998698265171249</v>
      </c>
      <c r="C2860" s="3">
        <f t="shared" si="182"/>
        <v>4441542.1821458461</v>
      </c>
      <c r="D2860" s="3">
        <f t="shared" si="184"/>
        <v>7.8112154267728329E-2</v>
      </c>
      <c r="E2860" s="8">
        <f t="shared" si="185"/>
        <v>407.71428571428572</v>
      </c>
    </row>
    <row r="2861" spans="1:5" ht="18.5" x14ac:dyDescent="0.45">
      <c r="A2861" s="3">
        <v>2855</v>
      </c>
      <c r="B2861" s="9">
        <f t="shared" si="183"/>
        <v>0.99998700020948561</v>
      </c>
      <c r="C2861" s="3">
        <f t="shared" si="182"/>
        <v>4441542.2601304511</v>
      </c>
      <c r="D2861" s="3">
        <f t="shared" si="184"/>
        <v>7.7984604984521866E-2</v>
      </c>
      <c r="E2861" s="8">
        <f t="shared" si="185"/>
        <v>407.85714285714283</v>
      </c>
    </row>
    <row r="2862" spans="1:5" ht="18.5" x14ac:dyDescent="0.45">
      <c r="A2862" s="3">
        <v>2856</v>
      </c>
      <c r="B2862" s="9">
        <f t="shared" si="183"/>
        <v>0.99998701773859699</v>
      </c>
      <c r="C2862" s="3">
        <f t="shared" si="182"/>
        <v>4441542.3379877526</v>
      </c>
      <c r="D2862" s="3">
        <f t="shared" si="184"/>
        <v>7.7857301570475101E-2</v>
      </c>
      <c r="E2862" s="8">
        <f t="shared" si="185"/>
        <v>408</v>
      </c>
    </row>
    <row r="2863" spans="1:5" ht="18.5" x14ac:dyDescent="0.45">
      <c r="A2863" s="3">
        <v>2857</v>
      </c>
      <c r="B2863" s="9">
        <f t="shared" si="183"/>
        <v>0.99998703523910193</v>
      </c>
      <c r="C2863" s="3">
        <f t="shared" si="182"/>
        <v>4441542.4157179948</v>
      </c>
      <c r="D2863" s="3">
        <f t="shared" si="184"/>
        <v>7.7730242162942886E-2</v>
      </c>
      <c r="E2863" s="8">
        <f t="shared" si="185"/>
        <v>408.14285714285717</v>
      </c>
    </row>
    <row r="2864" spans="1:5" ht="18.5" x14ac:dyDescent="0.45">
      <c r="A2864" s="3">
        <v>2858</v>
      </c>
      <c r="B2864" s="9">
        <f t="shared" si="183"/>
        <v>0.99998705271105537</v>
      </c>
      <c r="C2864" s="3">
        <f t="shared" si="182"/>
        <v>4441542.4933214234</v>
      </c>
      <c r="D2864" s="3">
        <f t="shared" si="184"/>
        <v>7.760342862457037E-2</v>
      </c>
      <c r="E2864" s="8">
        <f t="shared" si="185"/>
        <v>408.28571428571428</v>
      </c>
    </row>
    <row r="2865" spans="1:5" ht="18.5" x14ac:dyDescent="0.45">
      <c r="A2865" s="3">
        <v>2859</v>
      </c>
      <c r="B2865" s="9">
        <f t="shared" si="183"/>
        <v>0.99998707015451227</v>
      </c>
      <c r="C2865" s="3">
        <f t="shared" si="182"/>
        <v>4441542.5707982816</v>
      </c>
      <c r="D2865" s="3">
        <f t="shared" si="184"/>
        <v>7.7476858161389828E-2</v>
      </c>
      <c r="E2865" s="8">
        <f t="shared" si="185"/>
        <v>408.42857142857144</v>
      </c>
    </row>
    <row r="2866" spans="1:5" ht="18.5" x14ac:dyDescent="0.45">
      <c r="A2866" s="3">
        <v>2860</v>
      </c>
      <c r="B2866" s="9">
        <f t="shared" si="183"/>
        <v>0.99998708756952748</v>
      </c>
      <c r="C2866" s="3">
        <f t="shared" si="182"/>
        <v>4441542.6481488133</v>
      </c>
      <c r="D2866" s="3">
        <f t="shared" si="184"/>
        <v>7.7350531704723835E-2</v>
      </c>
      <c r="E2866" s="8">
        <f t="shared" si="185"/>
        <v>408.57142857142856</v>
      </c>
    </row>
    <row r="2867" spans="1:5" ht="18.5" x14ac:dyDescent="0.45">
      <c r="A2867" s="3">
        <v>2861</v>
      </c>
      <c r="B2867" s="9">
        <f t="shared" si="183"/>
        <v>0.99998710495615561</v>
      </c>
      <c r="C2867" s="3">
        <f t="shared" si="182"/>
        <v>4441542.7253732607</v>
      </c>
      <c r="D2867" s="3">
        <f t="shared" si="184"/>
        <v>7.7224447391927242E-2</v>
      </c>
      <c r="E2867" s="8">
        <f t="shared" si="185"/>
        <v>408.71428571428572</v>
      </c>
    </row>
    <row r="2868" spans="1:5" ht="18.5" x14ac:dyDescent="0.45">
      <c r="A2868" s="3">
        <v>2862</v>
      </c>
      <c r="B2868" s="9">
        <f t="shared" si="183"/>
        <v>0.99998712231445119</v>
      </c>
      <c r="C2868" s="3">
        <f t="shared" si="182"/>
        <v>4441542.8024718668</v>
      </c>
      <c r="D2868" s="3">
        <f t="shared" si="184"/>
        <v>7.7098606154322624E-2</v>
      </c>
      <c r="E2868" s="8">
        <f t="shared" si="185"/>
        <v>408.85714285714283</v>
      </c>
    </row>
    <row r="2869" spans="1:5" ht="18.5" x14ac:dyDescent="0.45">
      <c r="A2869" s="3">
        <v>2863</v>
      </c>
      <c r="B2869" s="9">
        <f t="shared" si="183"/>
        <v>0.99998713964446884</v>
      </c>
      <c r="C2869" s="3">
        <f t="shared" si="182"/>
        <v>4441542.879444873</v>
      </c>
      <c r="D2869" s="3">
        <f t="shared" si="184"/>
        <v>7.6973006129264832E-2</v>
      </c>
      <c r="E2869" s="8">
        <f t="shared" si="185"/>
        <v>409</v>
      </c>
    </row>
    <row r="2870" spans="1:5" ht="18.5" x14ac:dyDescent="0.45">
      <c r="A2870" s="3">
        <v>2864</v>
      </c>
      <c r="B2870" s="9">
        <f t="shared" si="183"/>
        <v>0.99998715694626272</v>
      </c>
      <c r="C2870" s="3">
        <f t="shared" si="182"/>
        <v>4441542.9562925203</v>
      </c>
      <c r="D2870" s="3">
        <f t="shared" si="184"/>
        <v>7.6847647316753864E-2</v>
      </c>
      <c r="E2870" s="8">
        <f t="shared" si="185"/>
        <v>409.14285714285717</v>
      </c>
    </row>
    <row r="2871" spans="1:5" ht="18.5" x14ac:dyDescent="0.45">
      <c r="A2871" s="3">
        <v>2865</v>
      </c>
      <c r="B2871" s="9">
        <f t="shared" si="183"/>
        <v>0.99998717421988714</v>
      </c>
      <c r="C2871" s="3">
        <f t="shared" si="182"/>
        <v>4441543.0330150509</v>
      </c>
      <c r="D2871" s="3">
        <f t="shared" si="184"/>
        <v>7.6722530648112297E-2</v>
      </c>
      <c r="E2871" s="8">
        <f t="shared" si="185"/>
        <v>409.28571428571428</v>
      </c>
    </row>
    <row r="2872" spans="1:5" ht="18.5" x14ac:dyDescent="0.45">
      <c r="A2872" s="3">
        <v>2866</v>
      </c>
      <c r="B2872" s="9">
        <f t="shared" si="183"/>
        <v>0.99998719146539594</v>
      </c>
      <c r="C2872" s="3">
        <f t="shared" si="182"/>
        <v>4441543.1096127024</v>
      </c>
      <c r="D2872" s="3">
        <f t="shared" si="184"/>
        <v>7.6597651466727257E-2</v>
      </c>
      <c r="E2872" s="8">
        <f t="shared" si="185"/>
        <v>409.42857142857144</v>
      </c>
    </row>
    <row r="2873" spans="1:5" ht="18.5" x14ac:dyDescent="0.45">
      <c r="A2873" s="3">
        <v>2867</v>
      </c>
      <c r="B2873" s="9">
        <f t="shared" si="183"/>
        <v>0.99998720868284341</v>
      </c>
      <c r="C2873" s="3">
        <f t="shared" si="182"/>
        <v>4441543.1860857168</v>
      </c>
      <c r="D2873" s="3">
        <f t="shared" si="184"/>
        <v>7.6473014429211617E-2</v>
      </c>
      <c r="E2873" s="8">
        <f t="shared" si="185"/>
        <v>409.57142857142856</v>
      </c>
    </row>
    <row r="2874" spans="1:5" ht="18.5" x14ac:dyDescent="0.45">
      <c r="A2874" s="3">
        <v>2868</v>
      </c>
      <c r="B2874" s="9">
        <f t="shared" si="183"/>
        <v>0.99998722587228317</v>
      </c>
      <c r="C2874" s="3">
        <f t="shared" si="182"/>
        <v>4441543.2624343326</v>
      </c>
      <c r="D2874" s="3">
        <f t="shared" si="184"/>
        <v>7.6348615810275078E-2</v>
      </c>
      <c r="E2874" s="8">
        <f t="shared" si="185"/>
        <v>409.71428571428572</v>
      </c>
    </row>
    <row r="2875" spans="1:5" ht="18.5" x14ac:dyDescent="0.45">
      <c r="A2875" s="3">
        <v>2869</v>
      </c>
      <c r="B2875" s="9">
        <f t="shared" si="183"/>
        <v>0.99998724303376896</v>
      </c>
      <c r="C2875" s="3">
        <f t="shared" si="182"/>
        <v>4441543.3386587882</v>
      </c>
      <c r="D2875" s="3">
        <f t="shared" si="184"/>
        <v>7.6224455609917641E-2</v>
      </c>
      <c r="E2875" s="8">
        <f t="shared" si="185"/>
        <v>409.85714285714283</v>
      </c>
    </row>
    <row r="2876" spans="1:5" ht="18.5" x14ac:dyDescent="0.45">
      <c r="A2876" s="3">
        <v>2870</v>
      </c>
      <c r="B2876" s="9">
        <f t="shared" si="183"/>
        <v>0.9999872601673544</v>
      </c>
      <c r="C2876" s="3">
        <f t="shared" si="182"/>
        <v>4441543.4147593211</v>
      </c>
      <c r="D2876" s="3">
        <f t="shared" si="184"/>
        <v>7.610053289681673E-2</v>
      </c>
      <c r="E2876" s="8">
        <f t="shared" si="185"/>
        <v>410</v>
      </c>
    </row>
    <row r="2877" spans="1:5" ht="18.5" x14ac:dyDescent="0.45">
      <c r="A2877" s="3">
        <v>2871</v>
      </c>
      <c r="B2877" s="9">
        <f t="shared" si="183"/>
        <v>0.999987277273093</v>
      </c>
      <c r="C2877" s="3">
        <f t="shared" si="182"/>
        <v>4441543.4907361697</v>
      </c>
      <c r="D2877" s="3">
        <f t="shared" si="184"/>
        <v>7.5976848602294922E-2</v>
      </c>
      <c r="E2877" s="8">
        <f t="shared" si="185"/>
        <v>410.14285714285717</v>
      </c>
    </row>
    <row r="2878" spans="1:5" ht="18.5" x14ac:dyDescent="0.45">
      <c r="A2878" s="3">
        <v>2872</v>
      </c>
      <c r="B2878" s="9">
        <f t="shared" si="183"/>
        <v>0.99998729435103806</v>
      </c>
      <c r="C2878" s="3">
        <f t="shared" si="182"/>
        <v>4441543.5665895706</v>
      </c>
      <c r="D2878" s="3">
        <f t="shared" si="184"/>
        <v>7.5853400863707066E-2</v>
      </c>
      <c r="E2878" s="8">
        <f t="shared" si="185"/>
        <v>410.28571428571428</v>
      </c>
    </row>
    <row r="2879" spans="1:5" ht="18.5" x14ac:dyDescent="0.45">
      <c r="A2879" s="3">
        <v>2873</v>
      </c>
      <c r="B2879" s="9">
        <f t="shared" si="183"/>
        <v>0.99998731140124286</v>
      </c>
      <c r="C2879" s="3">
        <f t="shared" si="182"/>
        <v>4441543.6423197603</v>
      </c>
      <c r="D2879" s="3">
        <f t="shared" si="184"/>
        <v>7.5730189681053162E-2</v>
      </c>
      <c r="E2879" s="8">
        <f t="shared" si="185"/>
        <v>410.42857142857144</v>
      </c>
    </row>
    <row r="2880" spans="1:5" ht="18.5" x14ac:dyDescent="0.45">
      <c r="A2880" s="3">
        <v>2874</v>
      </c>
      <c r="B2880" s="9">
        <f t="shared" si="183"/>
        <v>0.99998732842376059</v>
      </c>
      <c r="C2880" s="3">
        <f t="shared" si="182"/>
        <v>4441543.7179269753</v>
      </c>
      <c r="D2880" s="3">
        <f t="shared" si="184"/>
        <v>7.560721505433321E-2</v>
      </c>
      <c r="E2880" s="8">
        <f t="shared" si="185"/>
        <v>410.57142857142856</v>
      </c>
    </row>
    <row r="2881" spans="1:5" ht="18.5" x14ac:dyDescent="0.45">
      <c r="A2881" s="3">
        <v>2875</v>
      </c>
      <c r="B2881" s="9">
        <f t="shared" si="183"/>
        <v>0.99998734541864409</v>
      </c>
      <c r="C2881" s="3">
        <f t="shared" si="182"/>
        <v>4441543.7934114495</v>
      </c>
      <c r="D2881" s="3">
        <f t="shared" si="184"/>
        <v>7.5484474189579487E-2</v>
      </c>
      <c r="E2881" s="8">
        <f t="shared" si="185"/>
        <v>410.71428571428572</v>
      </c>
    </row>
    <row r="2882" spans="1:5" ht="18.5" x14ac:dyDescent="0.45">
      <c r="A2882" s="3">
        <v>2876</v>
      </c>
      <c r="B2882" s="9">
        <f t="shared" si="183"/>
        <v>0.99998736238594643</v>
      </c>
      <c r="C2882" s="3">
        <f t="shared" si="182"/>
        <v>4441543.8687734194</v>
      </c>
      <c r="D2882" s="3">
        <f t="shared" si="184"/>
        <v>7.5361969880759716E-2</v>
      </c>
      <c r="E2882" s="8">
        <f t="shared" si="185"/>
        <v>410.85714285714283</v>
      </c>
    </row>
    <row r="2883" spans="1:5" ht="18.5" x14ac:dyDescent="0.45">
      <c r="A2883" s="3">
        <v>2877</v>
      </c>
      <c r="B2883" s="9">
        <f t="shared" si="183"/>
        <v>0.99998737932572035</v>
      </c>
      <c r="C2883" s="3">
        <f t="shared" si="182"/>
        <v>4441543.9440131197</v>
      </c>
      <c r="D2883" s="3">
        <f t="shared" si="184"/>
        <v>7.5239700265228748E-2</v>
      </c>
      <c r="E2883" s="8">
        <f t="shared" si="185"/>
        <v>411</v>
      </c>
    </row>
    <row r="2884" spans="1:5" ht="18.5" x14ac:dyDescent="0.45">
      <c r="A2884" s="3">
        <v>2878</v>
      </c>
      <c r="B2884" s="9">
        <f t="shared" si="183"/>
        <v>0.99998739623801836</v>
      </c>
      <c r="C2884" s="3">
        <f t="shared" si="182"/>
        <v>4441544.0191307822</v>
      </c>
      <c r="D2884" s="3">
        <f t="shared" si="184"/>
        <v>7.511766254901886E-2</v>
      </c>
      <c r="E2884" s="8">
        <f t="shared" si="185"/>
        <v>411.14285714285717</v>
      </c>
    </row>
    <row r="2885" spans="1:5" ht="18.5" x14ac:dyDescent="0.45">
      <c r="A2885" s="3">
        <v>2879</v>
      </c>
      <c r="B2885" s="9">
        <f t="shared" si="183"/>
        <v>0.99998741312289319</v>
      </c>
      <c r="C2885" s="3">
        <f t="shared" si="182"/>
        <v>4441544.0941266427</v>
      </c>
      <c r="D2885" s="3">
        <f t="shared" si="184"/>
        <v>7.4995860457420349E-2</v>
      </c>
      <c r="E2885" s="8">
        <f t="shared" si="185"/>
        <v>411.28571428571428</v>
      </c>
    </row>
    <row r="2886" spans="1:5" ht="18.5" x14ac:dyDescent="0.45">
      <c r="A2886" s="3">
        <v>2880</v>
      </c>
      <c r="B2886" s="9">
        <f t="shared" si="183"/>
        <v>0.99998742998039714</v>
      </c>
      <c r="C2886" s="3">
        <f t="shared" si="182"/>
        <v>4441544.169000932</v>
      </c>
      <c r="D2886" s="3">
        <f t="shared" si="184"/>
        <v>7.4874289333820343E-2</v>
      </c>
      <c r="E2886" s="8">
        <f t="shared" si="185"/>
        <v>411.42857142857144</v>
      </c>
    </row>
    <row r="2887" spans="1:5" ht="18.5" x14ac:dyDescent="0.45">
      <c r="A2887" s="3">
        <v>2881</v>
      </c>
      <c r="B2887" s="9">
        <f t="shared" si="183"/>
        <v>0.9999874468105826</v>
      </c>
      <c r="C2887" s="3">
        <f t="shared" si="182"/>
        <v>4441544.243753884</v>
      </c>
      <c r="D2887" s="3">
        <f t="shared" si="184"/>
        <v>7.4752951972186565E-2</v>
      </c>
      <c r="E2887" s="8">
        <f t="shared" si="185"/>
        <v>411.57142857142856</v>
      </c>
    </row>
    <row r="2888" spans="1:5" ht="18.5" x14ac:dyDescent="0.45">
      <c r="A2888" s="3">
        <v>2882</v>
      </c>
      <c r="B2888" s="9">
        <f t="shared" si="183"/>
        <v>0.99998746361350177</v>
      </c>
      <c r="C2888" s="3">
        <f t="shared" ref="C2888:C2951" si="186">$E$3*B2888</f>
        <v>4441544.3183857296</v>
      </c>
      <c r="D2888" s="3">
        <f t="shared" si="184"/>
        <v>7.4631845578551292E-2</v>
      </c>
      <c r="E2888" s="8">
        <f t="shared" si="185"/>
        <v>411.71428571428572</v>
      </c>
    </row>
    <row r="2889" spans="1:5" ht="18.5" x14ac:dyDescent="0.45">
      <c r="A2889" s="3">
        <v>2883</v>
      </c>
      <c r="B2889" s="9">
        <f t="shared" si="183"/>
        <v>0.9999874803892066</v>
      </c>
      <c r="C2889" s="3">
        <f t="shared" si="186"/>
        <v>4441544.3928966997</v>
      </c>
      <c r="D2889" s="3">
        <f t="shared" si="184"/>
        <v>7.4510970152914524E-2</v>
      </c>
      <c r="E2889" s="8">
        <f t="shared" si="185"/>
        <v>411.85714285714283</v>
      </c>
    </row>
    <row r="2890" spans="1:5" ht="18.5" x14ac:dyDescent="0.45">
      <c r="A2890" s="3">
        <v>2884</v>
      </c>
      <c r="B2890" s="9">
        <f t="shared" si="183"/>
        <v>0.99998749713774915</v>
      </c>
      <c r="C2890" s="3">
        <f t="shared" si="186"/>
        <v>4441544.4672870263</v>
      </c>
      <c r="D2890" s="3">
        <f t="shared" si="184"/>
        <v>7.4390326626598835E-2</v>
      </c>
      <c r="E2890" s="8">
        <f t="shared" si="185"/>
        <v>412</v>
      </c>
    </row>
    <row r="2891" spans="1:5" ht="18.5" x14ac:dyDescent="0.45">
      <c r="A2891" s="3">
        <v>2885</v>
      </c>
      <c r="B2891" s="9">
        <f t="shared" si="183"/>
        <v>0.99998751385918128</v>
      </c>
      <c r="C2891" s="3">
        <f t="shared" si="186"/>
        <v>4441544.5415569395</v>
      </c>
      <c r="D2891" s="3">
        <f t="shared" si="184"/>
        <v>7.4269913136959076E-2</v>
      </c>
      <c r="E2891" s="8">
        <f t="shared" si="185"/>
        <v>412.14285714285717</v>
      </c>
    </row>
    <row r="2892" spans="1:5" ht="18.5" x14ac:dyDescent="0.45">
      <c r="A2892" s="3">
        <v>2886</v>
      </c>
      <c r="B2892" s="9">
        <f t="shared" si="183"/>
        <v>0.99998753055355472</v>
      </c>
      <c r="C2892" s="3">
        <f t="shared" si="186"/>
        <v>4441544.6157066682</v>
      </c>
      <c r="D2892" s="3">
        <f t="shared" si="184"/>
        <v>7.4149728752672672E-2</v>
      </c>
      <c r="E2892" s="8">
        <f t="shared" si="185"/>
        <v>412.28571428571428</v>
      </c>
    </row>
    <row r="2893" spans="1:5" ht="18.5" x14ac:dyDescent="0.45">
      <c r="A2893" s="3">
        <v>2887</v>
      </c>
      <c r="B2893" s="9">
        <f t="shared" si="183"/>
        <v>0.99998754722092098</v>
      </c>
      <c r="C2893" s="3">
        <f t="shared" si="186"/>
        <v>4441544.6897364426</v>
      </c>
      <c r="D2893" s="3">
        <f t="shared" si="184"/>
        <v>7.4029774405062199E-2</v>
      </c>
      <c r="E2893" s="8">
        <f t="shared" si="185"/>
        <v>412.42857142857144</v>
      </c>
    </row>
    <row r="2894" spans="1:5" ht="18.5" x14ac:dyDescent="0.45">
      <c r="A2894" s="3">
        <v>2888</v>
      </c>
      <c r="B2894" s="9">
        <f t="shared" si="183"/>
        <v>0.9999875638613317</v>
      </c>
      <c r="C2894" s="3">
        <f t="shared" si="186"/>
        <v>4441544.7636464909</v>
      </c>
      <c r="D2894" s="3">
        <f t="shared" si="184"/>
        <v>7.3910048231482506E-2</v>
      </c>
      <c r="E2894" s="8">
        <f t="shared" si="185"/>
        <v>412.57142857142856</v>
      </c>
    </row>
    <row r="2895" spans="1:5" ht="18.5" x14ac:dyDescent="0.45">
      <c r="A2895" s="3">
        <v>2889</v>
      </c>
      <c r="B2895" s="9">
        <f t="shared" si="183"/>
        <v>0.99998758047483827</v>
      </c>
      <c r="C2895" s="3">
        <f t="shared" si="186"/>
        <v>4441544.837437042</v>
      </c>
      <c r="D2895" s="3">
        <f t="shared" si="184"/>
        <v>7.3790551163256168E-2</v>
      </c>
      <c r="E2895" s="8">
        <f t="shared" si="185"/>
        <v>412.71428571428572</v>
      </c>
    </row>
    <row r="2896" spans="1:5" ht="18.5" x14ac:dyDescent="0.45">
      <c r="A2896" s="3">
        <v>2890</v>
      </c>
      <c r="B2896" s="9">
        <f t="shared" si="183"/>
        <v>0.99998759706149198</v>
      </c>
      <c r="C2896" s="3">
        <f t="shared" si="186"/>
        <v>4441544.9111083224</v>
      </c>
      <c r="D2896" s="3">
        <f t="shared" si="184"/>
        <v>7.3671280406415462E-2</v>
      </c>
      <c r="E2896" s="8">
        <f t="shared" si="185"/>
        <v>412.85714285714283</v>
      </c>
    </row>
    <row r="2897" spans="1:5" ht="18.5" x14ac:dyDescent="0.45">
      <c r="A2897" s="3">
        <v>2891</v>
      </c>
      <c r="B2897" s="9">
        <f t="shared" si="183"/>
        <v>0.99998761362134381</v>
      </c>
      <c r="C2897" s="3">
        <f t="shared" si="186"/>
        <v>4441544.9846605603</v>
      </c>
      <c r="D2897" s="3">
        <f t="shared" si="184"/>
        <v>7.3552237823605537E-2</v>
      </c>
      <c r="E2897" s="8">
        <f t="shared" si="185"/>
        <v>413</v>
      </c>
    </row>
    <row r="2898" spans="1:5" ht="18.5" x14ac:dyDescent="0.45">
      <c r="A2898" s="3">
        <v>2892</v>
      </c>
      <c r="B2898" s="9">
        <f t="shared" si="183"/>
        <v>0.99998763015444503</v>
      </c>
      <c r="C2898" s="3">
        <f t="shared" si="186"/>
        <v>4441545.0580939827</v>
      </c>
      <c r="D2898" s="3">
        <f t="shared" si="184"/>
        <v>7.3433422483503819E-2</v>
      </c>
      <c r="E2898" s="8">
        <f t="shared" si="185"/>
        <v>413.14285714285717</v>
      </c>
    </row>
    <row r="2899" spans="1:5" ht="18.5" x14ac:dyDescent="0.45">
      <c r="A2899" s="3">
        <v>2893</v>
      </c>
      <c r="B2899" s="9">
        <f t="shared" si="183"/>
        <v>0.9999876466608465</v>
      </c>
      <c r="C2899" s="3">
        <f t="shared" si="186"/>
        <v>4441545.1314088162</v>
      </c>
      <c r="D2899" s="3">
        <f t="shared" si="184"/>
        <v>7.3314833454787731E-2</v>
      </c>
      <c r="E2899" s="8">
        <f t="shared" si="185"/>
        <v>413.28571428571428</v>
      </c>
    </row>
    <row r="2900" spans="1:5" ht="18.5" x14ac:dyDescent="0.45">
      <c r="A2900" s="3">
        <v>2894</v>
      </c>
      <c r="B2900" s="9">
        <f t="shared" si="183"/>
        <v>0.99998766314059906</v>
      </c>
      <c r="C2900" s="3">
        <f t="shared" si="186"/>
        <v>4441545.2046052851</v>
      </c>
      <c r="D2900" s="3">
        <f t="shared" si="184"/>
        <v>7.3196468874812126E-2</v>
      </c>
      <c r="E2900" s="8">
        <f t="shared" si="185"/>
        <v>413.42857142857144</v>
      </c>
    </row>
    <row r="2901" spans="1:5" ht="18.5" x14ac:dyDescent="0.45">
      <c r="A2901" s="3">
        <v>2895</v>
      </c>
      <c r="B2901" s="9">
        <f t="shared" si="183"/>
        <v>0.99998767959375345</v>
      </c>
      <c r="C2901" s="3">
        <f t="shared" si="186"/>
        <v>4441545.2776836157</v>
      </c>
      <c r="D2901" s="3">
        <f t="shared" si="184"/>
        <v>7.3078330606222153E-2</v>
      </c>
      <c r="E2901" s="8">
        <f t="shared" si="185"/>
        <v>413.57142857142856</v>
      </c>
    </row>
    <row r="2902" spans="1:5" ht="18.5" x14ac:dyDescent="0.45">
      <c r="A2902" s="3">
        <v>2896</v>
      </c>
      <c r="B2902" s="9">
        <f t="shared" si="183"/>
        <v>0.99998769602036019</v>
      </c>
      <c r="C2902" s="3">
        <f t="shared" si="186"/>
        <v>4441545.3506440315</v>
      </c>
      <c r="D2902" s="3">
        <f t="shared" si="184"/>
        <v>7.2960415855050087E-2</v>
      </c>
      <c r="E2902" s="8">
        <f t="shared" si="185"/>
        <v>413.71428571428572</v>
      </c>
    </row>
    <row r="2903" spans="1:5" ht="18.5" x14ac:dyDescent="0.45">
      <c r="A2903" s="3">
        <v>2897</v>
      </c>
      <c r="B2903" s="9">
        <f t="shared" si="183"/>
        <v>0.99998771242046991</v>
      </c>
      <c r="C2903" s="3">
        <f t="shared" si="186"/>
        <v>4441545.423486759</v>
      </c>
      <c r="D2903" s="3">
        <f t="shared" si="184"/>
        <v>7.2842727415263653E-2</v>
      </c>
      <c r="E2903" s="8">
        <f t="shared" si="185"/>
        <v>413.85714285714283</v>
      </c>
    </row>
    <row r="2904" spans="1:5" ht="18.5" x14ac:dyDescent="0.45">
      <c r="A2904" s="3">
        <v>2898</v>
      </c>
      <c r="B2904" s="9">
        <f t="shared" si="183"/>
        <v>0.99998772879413278</v>
      </c>
      <c r="C2904" s="3">
        <f t="shared" si="186"/>
        <v>4441545.4962120205</v>
      </c>
      <c r="D2904" s="3">
        <f t="shared" si="184"/>
        <v>7.2725261561572552E-2</v>
      </c>
      <c r="E2904" s="8">
        <f t="shared" si="185"/>
        <v>414</v>
      </c>
    </row>
    <row r="2905" spans="1:5" ht="18.5" x14ac:dyDescent="0.45">
      <c r="A2905" s="3">
        <v>2899</v>
      </c>
      <c r="B2905" s="9">
        <f t="shared" si="183"/>
        <v>0.99998774514139932</v>
      </c>
      <c r="C2905" s="3">
        <f t="shared" si="186"/>
        <v>4441545.5688200388</v>
      </c>
      <c r="D2905" s="3">
        <f t="shared" si="184"/>
        <v>7.2608018293976784E-2</v>
      </c>
      <c r="E2905" s="8">
        <f t="shared" si="185"/>
        <v>414.14285714285717</v>
      </c>
    </row>
    <row r="2906" spans="1:5" ht="18.5" x14ac:dyDescent="0.45">
      <c r="A2906" s="3">
        <v>2900</v>
      </c>
      <c r="B2906" s="9">
        <f t="shared" si="183"/>
        <v>0.9999877614623196</v>
      </c>
      <c r="C2906" s="3">
        <f t="shared" si="186"/>
        <v>4441545.6413110383</v>
      </c>
      <c r="D2906" s="3">
        <f t="shared" si="184"/>
        <v>7.2490999475121498E-2</v>
      </c>
      <c r="E2906" s="8">
        <f t="shared" si="185"/>
        <v>414.28571428571428</v>
      </c>
    </row>
    <row r="2907" spans="1:5" ht="18.5" x14ac:dyDescent="0.45">
      <c r="A2907" s="3">
        <v>2901</v>
      </c>
      <c r="B2907" s="9">
        <f t="shared" si="183"/>
        <v>0.99998777775694359</v>
      </c>
      <c r="C2907" s="3">
        <f t="shared" si="186"/>
        <v>4441545.7136852406</v>
      </c>
      <c r="D2907" s="3">
        <f t="shared" si="184"/>
        <v>7.2374202311038971E-2</v>
      </c>
      <c r="E2907" s="8">
        <f t="shared" si="185"/>
        <v>414.42857142857144</v>
      </c>
    </row>
    <row r="2908" spans="1:5" ht="18.5" x14ac:dyDescent="0.45">
      <c r="A2908" s="3">
        <v>2902</v>
      </c>
      <c r="B2908" s="9">
        <f t="shared" si="183"/>
        <v>0.99998779402532134</v>
      </c>
      <c r="C2908" s="3">
        <f t="shared" si="186"/>
        <v>4441545.7859428674</v>
      </c>
      <c r="D2908" s="3">
        <f t="shared" si="184"/>
        <v>7.2257626801729202E-2</v>
      </c>
      <c r="E2908" s="8">
        <f t="shared" si="185"/>
        <v>414.57142857142856</v>
      </c>
    </row>
    <row r="2909" spans="1:5" ht="18.5" x14ac:dyDescent="0.45">
      <c r="A2909" s="3">
        <v>2903</v>
      </c>
      <c r="B2909" s="9">
        <f t="shared" si="183"/>
        <v>0.99998781026750272</v>
      </c>
      <c r="C2909" s="3">
        <f t="shared" si="186"/>
        <v>4441545.8580841403</v>
      </c>
      <c r="D2909" s="3">
        <f t="shared" si="184"/>
        <v>7.2141272947192192E-2</v>
      </c>
      <c r="E2909" s="8">
        <f t="shared" si="185"/>
        <v>414.71428571428572</v>
      </c>
    </row>
    <row r="2910" spans="1:5" ht="18.5" x14ac:dyDescent="0.45">
      <c r="A2910" s="3">
        <v>2904</v>
      </c>
      <c r="B2910" s="9">
        <f t="shared" si="183"/>
        <v>0.99998782648353723</v>
      </c>
      <c r="C2910" s="3">
        <f t="shared" si="186"/>
        <v>4441545.9301092792</v>
      </c>
      <c r="D2910" s="3">
        <f t="shared" si="184"/>
        <v>7.2025138884782791E-2</v>
      </c>
      <c r="E2910" s="8">
        <f t="shared" si="185"/>
        <v>414.85714285714283</v>
      </c>
    </row>
    <row r="2911" spans="1:5" ht="18.5" x14ac:dyDescent="0.45">
      <c r="A2911" s="3">
        <v>2905</v>
      </c>
      <c r="B2911" s="9">
        <f t="shared" si="183"/>
        <v>0.99998784267347474</v>
      </c>
      <c r="C2911" s="3">
        <f t="shared" si="186"/>
        <v>4441546.0020185057</v>
      </c>
      <c r="D2911" s="3">
        <f t="shared" si="184"/>
        <v>7.1909226477146149E-2</v>
      </c>
      <c r="E2911" s="8">
        <f t="shared" si="185"/>
        <v>415</v>
      </c>
    </row>
    <row r="2912" spans="1:5" ht="18.5" x14ac:dyDescent="0.45">
      <c r="A2912" s="3">
        <v>2906</v>
      </c>
      <c r="B2912" s="9">
        <f t="shared" si="183"/>
        <v>0.99998785883736463</v>
      </c>
      <c r="C2912" s="3">
        <f t="shared" si="186"/>
        <v>4441546.0738120386</v>
      </c>
      <c r="D2912" s="3">
        <f t="shared" si="184"/>
        <v>7.1793532930314541E-2</v>
      </c>
      <c r="E2912" s="8">
        <f t="shared" si="185"/>
        <v>415.14285714285717</v>
      </c>
    </row>
    <row r="2913" spans="1:5" ht="18.5" x14ac:dyDescent="0.45">
      <c r="A2913" s="3">
        <v>2907</v>
      </c>
      <c r="B2913" s="9">
        <f t="shared" si="183"/>
        <v>0.99998787497525632</v>
      </c>
      <c r="C2913" s="3">
        <f t="shared" si="186"/>
        <v>4441546.1454900987</v>
      </c>
      <c r="D2913" s="3">
        <f t="shared" si="184"/>
        <v>7.1678060106933117E-2</v>
      </c>
      <c r="E2913" s="8">
        <f t="shared" si="185"/>
        <v>415.28571428571428</v>
      </c>
    </row>
    <row r="2914" spans="1:5" ht="18.5" x14ac:dyDescent="0.45">
      <c r="A2914" s="3">
        <v>2908</v>
      </c>
      <c r="B2914" s="9">
        <f t="shared" si="183"/>
        <v>0.99998789108719921</v>
      </c>
      <c r="C2914" s="3">
        <f t="shared" si="186"/>
        <v>4441546.217052904</v>
      </c>
      <c r="D2914" s="3">
        <f t="shared" si="184"/>
        <v>7.1562805213034153E-2</v>
      </c>
      <c r="E2914" s="8">
        <f t="shared" si="185"/>
        <v>415.42857142857144</v>
      </c>
    </row>
    <row r="2915" spans="1:5" ht="18.5" x14ac:dyDescent="0.45">
      <c r="A2915" s="3">
        <v>2909</v>
      </c>
      <c r="B2915" s="9">
        <f t="shared" si="183"/>
        <v>0.99998790717324226</v>
      </c>
      <c r="C2915" s="3">
        <f t="shared" si="186"/>
        <v>4441546.2885006731</v>
      </c>
      <c r="D2915" s="3">
        <f t="shared" si="184"/>
        <v>7.1447769179940224E-2</v>
      </c>
      <c r="E2915" s="8">
        <f t="shared" si="185"/>
        <v>415.57142857142856</v>
      </c>
    </row>
    <row r="2916" spans="1:5" ht="18.5" x14ac:dyDescent="0.45">
      <c r="A2916" s="3">
        <v>2910</v>
      </c>
      <c r="B2916" s="9">
        <f t="shared" si="183"/>
        <v>0.99998792323343466</v>
      </c>
      <c r="C2916" s="3">
        <f t="shared" si="186"/>
        <v>4441546.3598336233</v>
      </c>
      <c r="D2916" s="3">
        <f t="shared" si="184"/>
        <v>7.133295014500618E-2</v>
      </c>
      <c r="E2916" s="8">
        <f t="shared" si="185"/>
        <v>415.71428571428572</v>
      </c>
    </row>
    <row r="2917" spans="1:5" ht="18.5" x14ac:dyDescent="0.45">
      <c r="A2917" s="3">
        <v>2911</v>
      </c>
      <c r="B2917" s="9">
        <f t="shared" si="183"/>
        <v>0.99998793926782537</v>
      </c>
      <c r="C2917" s="3">
        <f t="shared" si="186"/>
        <v>4441546.4310519733</v>
      </c>
      <c r="D2917" s="3">
        <f t="shared" si="184"/>
        <v>7.1218349970877171E-2</v>
      </c>
      <c r="E2917" s="8">
        <f t="shared" si="185"/>
        <v>415.85714285714283</v>
      </c>
    </row>
    <row r="2918" spans="1:5" ht="18.5" x14ac:dyDescent="0.45">
      <c r="A2918" s="3">
        <v>2912</v>
      </c>
      <c r="B2918" s="9">
        <f t="shared" si="183"/>
        <v>0.99998795527646334</v>
      </c>
      <c r="C2918" s="3">
        <f t="shared" si="186"/>
        <v>4441546.5021559391</v>
      </c>
      <c r="D2918" s="3">
        <f t="shared" si="184"/>
        <v>7.1103965863585472E-2</v>
      </c>
      <c r="E2918" s="8">
        <f t="shared" si="185"/>
        <v>416</v>
      </c>
    </row>
    <row r="2919" spans="1:5" ht="18.5" x14ac:dyDescent="0.45">
      <c r="A2919" s="3">
        <v>2913</v>
      </c>
      <c r="B2919" s="9">
        <f t="shared" si="183"/>
        <v>0.99998797125939709</v>
      </c>
      <c r="C2919" s="3">
        <f t="shared" si="186"/>
        <v>4441546.5731457379</v>
      </c>
      <c r="D2919" s="3">
        <f t="shared" si="184"/>
        <v>7.0989798754453659E-2</v>
      </c>
      <c r="E2919" s="8">
        <f t="shared" si="185"/>
        <v>416.14285714285717</v>
      </c>
    </row>
    <row r="2920" spans="1:5" ht="18.5" x14ac:dyDescent="0.45">
      <c r="A2920" s="3">
        <v>2914</v>
      </c>
      <c r="B2920" s="9">
        <f t="shared" ref="B2920:B2983" si="187">LOGNORMDIST(A2920,$A$3,$B$3)</f>
        <v>0.99998798721667559</v>
      </c>
      <c r="C2920" s="3">
        <f t="shared" si="186"/>
        <v>4441546.6440215865</v>
      </c>
      <c r="D2920" s="3">
        <f t="shared" ref="D2920:D2983" si="188">C2920-C2919</f>
        <v>7.0875848643481731E-2</v>
      </c>
      <c r="E2920" s="8">
        <f t="shared" ref="E2920:E2983" si="189">A2920/7</f>
        <v>416.28571428571428</v>
      </c>
    </row>
    <row r="2921" spans="1:5" ht="18.5" x14ac:dyDescent="0.45">
      <c r="A2921" s="3">
        <v>2915</v>
      </c>
      <c r="B2921" s="9">
        <f t="shared" si="187"/>
        <v>0.99998800314834713</v>
      </c>
      <c r="C2921" s="3">
        <f t="shared" si="186"/>
        <v>4441546.7147836983</v>
      </c>
      <c r="D2921" s="3">
        <f t="shared" si="188"/>
        <v>7.0762111805379391E-2</v>
      </c>
      <c r="E2921" s="8">
        <f t="shared" si="189"/>
        <v>416.42857142857144</v>
      </c>
    </row>
    <row r="2922" spans="1:5" ht="18.5" x14ac:dyDescent="0.45">
      <c r="A2922" s="3">
        <v>2916</v>
      </c>
      <c r="B2922" s="9">
        <f t="shared" si="187"/>
        <v>0.99998801905446022</v>
      </c>
      <c r="C2922" s="3">
        <f t="shared" si="186"/>
        <v>4441546.7854322903</v>
      </c>
      <c r="D2922" s="3">
        <f t="shared" si="188"/>
        <v>7.0648591965436935E-2</v>
      </c>
      <c r="E2922" s="8">
        <f t="shared" si="189"/>
        <v>416.57142857142856</v>
      </c>
    </row>
    <row r="2923" spans="1:5" ht="18.5" x14ac:dyDescent="0.45">
      <c r="A2923" s="3">
        <v>2917</v>
      </c>
      <c r="B2923" s="9">
        <f t="shared" si="187"/>
        <v>0.99998803493506316</v>
      </c>
      <c r="C2923" s="3">
        <f t="shared" si="186"/>
        <v>4441546.8559675766</v>
      </c>
      <c r="D2923" s="3">
        <f t="shared" si="188"/>
        <v>7.0535286329686642E-2</v>
      </c>
      <c r="E2923" s="8">
        <f t="shared" si="189"/>
        <v>416.71428571428572</v>
      </c>
    </row>
    <row r="2924" spans="1:5" ht="18.5" x14ac:dyDescent="0.45">
      <c r="A2924" s="3">
        <v>2918</v>
      </c>
      <c r="B2924" s="9">
        <f t="shared" si="187"/>
        <v>0.99998805079020425</v>
      </c>
      <c r="C2924" s="3">
        <f t="shared" si="186"/>
        <v>4441546.9263897715</v>
      </c>
      <c r="D2924" s="3">
        <f t="shared" si="188"/>
        <v>7.042219489812851E-2</v>
      </c>
      <c r="E2924" s="8">
        <f t="shared" si="189"/>
        <v>416.85714285714283</v>
      </c>
    </row>
    <row r="2925" spans="1:5" ht="18.5" x14ac:dyDescent="0.45">
      <c r="A2925" s="3">
        <v>2919</v>
      </c>
      <c r="B2925" s="9">
        <f t="shared" si="187"/>
        <v>0.99998806661993145</v>
      </c>
      <c r="C2925" s="3">
        <f t="shared" si="186"/>
        <v>4441546.9966990873</v>
      </c>
      <c r="D2925" s="3">
        <f t="shared" si="188"/>
        <v>7.030931580811739E-2</v>
      </c>
      <c r="E2925" s="8">
        <f t="shared" si="189"/>
        <v>417</v>
      </c>
    </row>
    <row r="2926" spans="1:5" ht="18.5" x14ac:dyDescent="0.45">
      <c r="A2926" s="3">
        <v>2920</v>
      </c>
      <c r="B2926" s="9">
        <f t="shared" si="187"/>
        <v>0.99998808242429305</v>
      </c>
      <c r="C2926" s="3">
        <f t="shared" si="186"/>
        <v>4441547.0668957401</v>
      </c>
      <c r="D2926" s="3">
        <f t="shared" si="188"/>
        <v>7.0196652784943581E-2</v>
      </c>
      <c r="E2926" s="8">
        <f t="shared" si="189"/>
        <v>417.14285714285717</v>
      </c>
    </row>
    <row r="2927" spans="1:5" ht="18.5" x14ac:dyDescent="0.45">
      <c r="A2927" s="3">
        <v>2921</v>
      </c>
      <c r="B2927" s="9">
        <f t="shared" si="187"/>
        <v>0.99998809820333667</v>
      </c>
      <c r="C2927" s="3">
        <f t="shared" si="186"/>
        <v>4441547.1369799403</v>
      </c>
      <c r="D2927" s="3">
        <f t="shared" si="188"/>
        <v>7.0084200240671635E-2</v>
      </c>
      <c r="E2927" s="8">
        <f t="shared" si="189"/>
        <v>417.28571428571428</v>
      </c>
    </row>
    <row r="2928" spans="1:5" ht="18.5" x14ac:dyDescent="0.45">
      <c r="A2928" s="3">
        <v>2922</v>
      </c>
      <c r="B2928" s="9">
        <f t="shared" si="187"/>
        <v>0.99998811395711029</v>
      </c>
      <c r="C2928" s="3">
        <f t="shared" si="186"/>
        <v>4441547.2069519013</v>
      </c>
      <c r="D2928" s="3">
        <f t="shared" si="188"/>
        <v>6.9971960969269276E-2</v>
      </c>
      <c r="E2928" s="8">
        <f t="shared" si="189"/>
        <v>417.42857142857144</v>
      </c>
    </row>
    <row r="2929" spans="1:5" ht="18.5" x14ac:dyDescent="0.45">
      <c r="A2929" s="3">
        <v>2923</v>
      </c>
      <c r="B2929" s="9">
        <f t="shared" si="187"/>
        <v>0.99998812968566142</v>
      </c>
      <c r="C2929" s="3">
        <f t="shared" si="186"/>
        <v>4441547.2768118335</v>
      </c>
      <c r="D2929" s="3">
        <f t="shared" si="188"/>
        <v>6.985993217676878E-2</v>
      </c>
      <c r="E2929" s="8">
        <f t="shared" si="189"/>
        <v>417.57142857142856</v>
      </c>
    </row>
    <row r="2930" spans="1:5" ht="18.5" x14ac:dyDescent="0.45">
      <c r="A2930" s="3">
        <v>2924</v>
      </c>
      <c r="B2930" s="9">
        <f t="shared" si="187"/>
        <v>0.99998814538903791</v>
      </c>
      <c r="C2930" s="3">
        <f t="shared" si="186"/>
        <v>4441547.3465599511</v>
      </c>
      <c r="D2930" s="3">
        <f t="shared" si="188"/>
        <v>6.9748117588460445E-2</v>
      </c>
      <c r="E2930" s="8">
        <f t="shared" si="189"/>
        <v>417.71428571428572</v>
      </c>
    </row>
    <row r="2931" spans="1:5" ht="18.5" x14ac:dyDescent="0.45">
      <c r="A2931" s="3">
        <v>2925</v>
      </c>
      <c r="B2931" s="9">
        <f t="shared" si="187"/>
        <v>0.99998816106728716</v>
      </c>
      <c r="C2931" s="3">
        <f t="shared" si="186"/>
        <v>4441547.4161964627</v>
      </c>
      <c r="D2931" s="3">
        <f t="shared" si="188"/>
        <v>6.9636511616408825E-2</v>
      </c>
      <c r="E2931" s="8">
        <f t="shared" si="189"/>
        <v>417.85714285714283</v>
      </c>
    </row>
    <row r="2932" spans="1:5" ht="18.5" x14ac:dyDescent="0.45">
      <c r="A2932" s="3">
        <v>2926</v>
      </c>
      <c r="B2932" s="9">
        <f t="shared" si="187"/>
        <v>0.99998817672045648</v>
      </c>
      <c r="C2932" s="3">
        <f t="shared" si="186"/>
        <v>4441547.4857215798</v>
      </c>
      <c r="D2932" s="3">
        <f t="shared" si="188"/>
        <v>6.9525117054581642E-2</v>
      </c>
      <c r="E2932" s="8">
        <f t="shared" si="189"/>
        <v>418</v>
      </c>
    </row>
    <row r="2933" spans="1:5" ht="18.5" x14ac:dyDescent="0.45">
      <c r="A2933" s="3">
        <v>2927</v>
      </c>
      <c r="B2933" s="9">
        <f t="shared" si="187"/>
        <v>0.99998819234859315</v>
      </c>
      <c r="C2933" s="3">
        <f t="shared" si="186"/>
        <v>4441547.5551355118</v>
      </c>
      <c r="D2933" s="3">
        <f t="shared" si="188"/>
        <v>6.9413932040333748E-2</v>
      </c>
      <c r="E2933" s="8">
        <f t="shared" si="189"/>
        <v>418.14285714285717</v>
      </c>
    </row>
    <row r="2934" spans="1:5" ht="18.5" x14ac:dyDescent="0.45">
      <c r="A2934" s="3">
        <v>2928</v>
      </c>
      <c r="B2934" s="9">
        <f t="shared" si="187"/>
        <v>0.99998820795174448</v>
      </c>
      <c r="C2934" s="3">
        <f t="shared" si="186"/>
        <v>4441547.6244384684</v>
      </c>
      <c r="D2934" s="3">
        <f t="shared" si="188"/>
        <v>6.9302956573665142E-2</v>
      </c>
      <c r="E2934" s="8">
        <f t="shared" si="189"/>
        <v>418.28571428571428</v>
      </c>
    </row>
    <row r="2935" spans="1:5" ht="18.5" x14ac:dyDescent="0.45">
      <c r="A2935" s="3">
        <v>2929</v>
      </c>
      <c r="B2935" s="9">
        <f t="shared" si="187"/>
        <v>0.99998822352995742</v>
      </c>
      <c r="C2935" s="3">
        <f t="shared" si="186"/>
        <v>4441547.693630659</v>
      </c>
      <c r="D2935" s="3">
        <f t="shared" si="188"/>
        <v>6.9192190654575825E-2</v>
      </c>
      <c r="E2935" s="8">
        <f t="shared" si="189"/>
        <v>418.42857142857144</v>
      </c>
    </row>
    <row r="2936" spans="1:5" ht="18.5" x14ac:dyDescent="0.45">
      <c r="A2936" s="3">
        <v>2930</v>
      </c>
      <c r="B2936" s="9">
        <f t="shared" si="187"/>
        <v>0.99998823908327894</v>
      </c>
      <c r="C2936" s="3">
        <f t="shared" si="186"/>
        <v>4441547.7627122914</v>
      </c>
      <c r="D2936" s="3">
        <f t="shared" si="188"/>
        <v>6.9081632420420647E-2</v>
      </c>
      <c r="E2936" s="8">
        <f t="shared" si="189"/>
        <v>418.57142857142856</v>
      </c>
    </row>
    <row r="2937" spans="1:5" ht="18.5" x14ac:dyDescent="0.45">
      <c r="A2937" s="3">
        <v>2931</v>
      </c>
      <c r="B2937" s="9">
        <f t="shared" si="187"/>
        <v>0.999988254611756</v>
      </c>
      <c r="C2937" s="3">
        <f t="shared" si="186"/>
        <v>4441547.8316835752</v>
      </c>
      <c r="D2937" s="3">
        <f t="shared" si="188"/>
        <v>6.8971283733844757E-2</v>
      </c>
      <c r="E2937" s="8">
        <f t="shared" si="189"/>
        <v>418.71428571428572</v>
      </c>
    </row>
    <row r="2938" spans="1:5" ht="18.5" x14ac:dyDescent="0.45">
      <c r="A2938" s="3">
        <v>2932</v>
      </c>
      <c r="B2938" s="9">
        <f t="shared" si="187"/>
        <v>0.99998827011543545</v>
      </c>
      <c r="C2938" s="3">
        <f t="shared" si="186"/>
        <v>4441547.9005447179</v>
      </c>
      <c r="D2938" s="3">
        <f t="shared" si="188"/>
        <v>6.8861142732203007E-2</v>
      </c>
      <c r="E2938" s="8">
        <f t="shared" si="189"/>
        <v>418.85714285714283</v>
      </c>
    </row>
    <row r="2939" spans="1:5" ht="18.5" x14ac:dyDescent="0.45">
      <c r="A2939" s="3">
        <v>2933</v>
      </c>
      <c r="B2939" s="9">
        <f t="shared" si="187"/>
        <v>0.9999882855943637</v>
      </c>
      <c r="C2939" s="3">
        <f t="shared" si="186"/>
        <v>4441547.9692959255</v>
      </c>
      <c r="D2939" s="3">
        <f t="shared" si="188"/>
        <v>6.8751207552850246E-2</v>
      </c>
      <c r="E2939" s="8">
        <f t="shared" si="189"/>
        <v>419</v>
      </c>
    </row>
    <row r="2940" spans="1:5" ht="18.5" x14ac:dyDescent="0.45">
      <c r="A2940" s="3">
        <v>2934</v>
      </c>
      <c r="B2940" s="9">
        <f t="shared" si="187"/>
        <v>0.9999883010485876</v>
      </c>
      <c r="C2940" s="3">
        <f t="shared" si="186"/>
        <v>4441548.0379374065</v>
      </c>
      <c r="D2940" s="3">
        <f t="shared" si="188"/>
        <v>6.86414809897542E-2</v>
      </c>
      <c r="E2940" s="8">
        <f t="shared" si="189"/>
        <v>419.14285714285717</v>
      </c>
    </row>
    <row r="2941" spans="1:5" ht="18.5" x14ac:dyDescent="0.45">
      <c r="A2941" s="3">
        <v>2935</v>
      </c>
      <c r="B2941" s="9">
        <f t="shared" si="187"/>
        <v>0.99998831647815334</v>
      </c>
      <c r="C2941" s="3">
        <f t="shared" si="186"/>
        <v>4441548.1064693658</v>
      </c>
      <c r="D2941" s="3">
        <f t="shared" si="188"/>
        <v>6.8531959317624569E-2</v>
      </c>
      <c r="E2941" s="8">
        <f t="shared" si="189"/>
        <v>419.28571428571428</v>
      </c>
    </row>
    <row r="2942" spans="1:5" ht="18.5" x14ac:dyDescent="0.45">
      <c r="A2942" s="3">
        <v>2936</v>
      </c>
      <c r="B2942" s="9">
        <f t="shared" si="187"/>
        <v>0.99998833188310754</v>
      </c>
      <c r="C2942" s="3">
        <f t="shared" si="186"/>
        <v>4441548.1748920102</v>
      </c>
      <c r="D2942" s="3">
        <f t="shared" si="188"/>
        <v>6.8422644399106503E-2</v>
      </c>
      <c r="E2942" s="8">
        <f t="shared" si="189"/>
        <v>419.42857142857144</v>
      </c>
    </row>
    <row r="2943" spans="1:5" ht="18.5" x14ac:dyDescent="0.45">
      <c r="A2943" s="3">
        <v>2937</v>
      </c>
      <c r="B2943" s="9">
        <f t="shared" si="187"/>
        <v>0.99998834726349639</v>
      </c>
      <c r="C2943" s="3">
        <f t="shared" si="186"/>
        <v>4441548.2432055455</v>
      </c>
      <c r="D2943" s="3">
        <f t="shared" si="188"/>
        <v>6.8313535302877426E-2</v>
      </c>
      <c r="E2943" s="8">
        <f t="shared" si="189"/>
        <v>419.57142857142856</v>
      </c>
    </row>
    <row r="2944" spans="1:5" ht="18.5" x14ac:dyDescent="0.45">
      <c r="A2944" s="3">
        <v>2938</v>
      </c>
      <c r="B2944" s="9">
        <f t="shared" si="187"/>
        <v>0.99998836261936597</v>
      </c>
      <c r="C2944" s="3">
        <f t="shared" si="186"/>
        <v>4441548.3114101756</v>
      </c>
      <c r="D2944" s="3">
        <f t="shared" si="188"/>
        <v>6.8204630166292191E-2</v>
      </c>
      <c r="E2944" s="8">
        <f t="shared" si="189"/>
        <v>419.71428571428572</v>
      </c>
    </row>
    <row r="2945" spans="1:5" ht="18.5" x14ac:dyDescent="0.45">
      <c r="A2945" s="3">
        <v>2939</v>
      </c>
      <c r="B2945" s="9">
        <f t="shared" si="187"/>
        <v>0.99998837795076234</v>
      </c>
      <c r="C2945" s="3">
        <f t="shared" si="186"/>
        <v>4441548.3795061056</v>
      </c>
      <c r="D2945" s="3">
        <f t="shared" si="188"/>
        <v>6.809592992067337E-2</v>
      </c>
      <c r="E2945" s="8">
        <f t="shared" si="189"/>
        <v>419.85714285714283</v>
      </c>
    </row>
    <row r="2946" spans="1:5" ht="18.5" x14ac:dyDescent="0.45">
      <c r="A2946" s="3">
        <v>2940</v>
      </c>
      <c r="B2946" s="9">
        <f t="shared" si="187"/>
        <v>0.99998839325773159</v>
      </c>
      <c r="C2946" s="3">
        <f t="shared" si="186"/>
        <v>4441548.4474935411</v>
      </c>
      <c r="D2946" s="3">
        <f t="shared" si="188"/>
        <v>6.798743549734354E-2</v>
      </c>
      <c r="E2946" s="8">
        <f t="shared" si="189"/>
        <v>420</v>
      </c>
    </row>
    <row r="2947" spans="1:5" ht="18.5" x14ac:dyDescent="0.45">
      <c r="A2947" s="3">
        <v>2941</v>
      </c>
      <c r="B2947" s="9">
        <f t="shared" si="187"/>
        <v>0.99998840854031956</v>
      </c>
      <c r="C2947" s="3">
        <f t="shared" si="186"/>
        <v>4441548.5153726833</v>
      </c>
      <c r="D2947" s="3">
        <f t="shared" si="188"/>
        <v>6.7879142239689827E-2</v>
      </c>
      <c r="E2947" s="8">
        <f t="shared" si="189"/>
        <v>420.14285714285717</v>
      </c>
    </row>
    <row r="2948" spans="1:5" ht="18.5" x14ac:dyDescent="0.45">
      <c r="A2948" s="3">
        <v>2942</v>
      </c>
      <c r="B2948" s="9">
        <f t="shared" si="187"/>
        <v>0.99998842379857189</v>
      </c>
      <c r="C2948" s="3">
        <f t="shared" si="186"/>
        <v>4441548.5831437372</v>
      </c>
      <c r="D2948" s="3">
        <f t="shared" si="188"/>
        <v>6.7771053873002529E-2</v>
      </c>
      <c r="E2948" s="8">
        <f t="shared" si="189"/>
        <v>420.28571428571428</v>
      </c>
    </row>
    <row r="2949" spans="1:5" ht="18.5" x14ac:dyDescent="0.45">
      <c r="A2949" s="3">
        <v>2943</v>
      </c>
      <c r="B2949" s="9">
        <f t="shared" si="187"/>
        <v>0.99998843903253443</v>
      </c>
      <c r="C2949" s="3">
        <f t="shared" si="186"/>
        <v>4441548.6508069048</v>
      </c>
      <c r="D2949" s="3">
        <f t="shared" si="188"/>
        <v>6.7663167603313923E-2</v>
      </c>
      <c r="E2949" s="8">
        <f t="shared" si="189"/>
        <v>420.42857142857144</v>
      </c>
    </row>
    <row r="2950" spans="1:5" ht="18.5" x14ac:dyDescent="0.45">
      <c r="A2950" s="3">
        <v>2944</v>
      </c>
      <c r="B2950" s="9">
        <f t="shared" si="187"/>
        <v>0.99998845424225258</v>
      </c>
      <c r="C2950" s="3">
        <f t="shared" si="186"/>
        <v>4441548.7183623891</v>
      </c>
      <c r="D2950" s="3">
        <f t="shared" si="188"/>
        <v>6.7555484361946583E-2</v>
      </c>
      <c r="E2950" s="8">
        <f t="shared" si="189"/>
        <v>420.57142857142856</v>
      </c>
    </row>
    <row r="2951" spans="1:5" ht="18.5" x14ac:dyDescent="0.45">
      <c r="A2951" s="3">
        <v>2945</v>
      </c>
      <c r="B2951" s="9">
        <f t="shared" si="187"/>
        <v>0.99998846942777186</v>
      </c>
      <c r="C2951" s="3">
        <f t="shared" si="186"/>
        <v>4441548.7858103914</v>
      </c>
      <c r="D2951" s="3">
        <f t="shared" si="188"/>
        <v>6.744800228625536E-2</v>
      </c>
      <c r="E2951" s="8">
        <f t="shared" si="189"/>
        <v>420.71428571428572</v>
      </c>
    </row>
    <row r="2952" spans="1:5" ht="18.5" x14ac:dyDescent="0.45">
      <c r="A2952" s="3">
        <v>2946</v>
      </c>
      <c r="B2952" s="9">
        <f t="shared" si="187"/>
        <v>0.9999884845891378</v>
      </c>
      <c r="C2952" s="3">
        <f t="shared" ref="C2952:C3006" si="190">$E$3*B2952</f>
        <v>4441548.8531511147</v>
      </c>
      <c r="D2952" s="3">
        <f t="shared" si="188"/>
        <v>6.7340723238885403E-2</v>
      </c>
      <c r="E2952" s="8">
        <f t="shared" si="189"/>
        <v>420.85714285714283</v>
      </c>
    </row>
    <row r="2953" spans="1:5" ht="18.5" x14ac:dyDescent="0.45">
      <c r="A2953" s="3">
        <v>2947</v>
      </c>
      <c r="B2953" s="9">
        <f t="shared" si="187"/>
        <v>0.99998849972639547</v>
      </c>
      <c r="C2953" s="3">
        <f t="shared" si="190"/>
        <v>4441548.9203847582</v>
      </c>
      <c r="D2953" s="3">
        <f t="shared" si="188"/>
        <v>6.7233643494546413E-2</v>
      </c>
      <c r="E2953" s="8">
        <f t="shared" si="189"/>
        <v>421</v>
      </c>
    </row>
    <row r="2954" spans="1:5" ht="18.5" x14ac:dyDescent="0.45">
      <c r="A2954" s="3">
        <v>2948</v>
      </c>
      <c r="B2954" s="9">
        <f t="shared" si="187"/>
        <v>0.99998851483959006</v>
      </c>
      <c r="C2954" s="3">
        <f t="shared" si="190"/>
        <v>4441548.9875115231</v>
      </c>
      <c r="D2954" s="3">
        <f t="shared" si="188"/>
        <v>6.7126764915883541E-2</v>
      </c>
      <c r="E2954" s="8">
        <f t="shared" si="189"/>
        <v>421.14285714285717</v>
      </c>
    </row>
    <row r="2955" spans="1:5" ht="18.5" x14ac:dyDescent="0.45">
      <c r="A2955" s="3">
        <v>2949</v>
      </c>
      <c r="B2955" s="9">
        <f t="shared" si="187"/>
        <v>0.99998852992876675</v>
      </c>
      <c r="C2955" s="3">
        <f t="shared" si="190"/>
        <v>4441549.0545316106</v>
      </c>
      <c r="D2955" s="3">
        <f t="shared" si="188"/>
        <v>6.7020087502896786E-2</v>
      </c>
      <c r="E2955" s="8">
        <f t="shared" si="189"/>
        <v>421.28571428571428</v>
      </c>
    </row>
    <row r="2956" spans="1:5" ht="18.5" x14ac:dyDescent="0.45">
      <c r="A2956" s="3">
        <v>2950</v>
      </c>
      <c r="B2956" s="9">
        <f t="shared" si="187"/>
        <v>0.99998854499397039</v>
      </c>
      <c r="C2956" s="3">
        <f t="shared" si="190"/>
        <v>4441549.121445219</v>
      </c>
      <c r="D2956" s="3">
        <f t="shared" si="188"/>
        <v>6.6913608461618423E-2</v>
      </c>
      <c r="E2956" s="8">
        <f t="shared" si="189"/>
        <v>421.42857142857144</v>
      </c>
    </row>
    <row r="2957" spans="1:5" ht="18.5" x14ac:dyDescent="0.45">
      <c r="A2957" s="3">
        <v>2951</v>
      </c>
      <c r="B2957" s="9">
        <f t="shared" si="187"/>
        <v>0.99998856003524605</v>
      </c>
      <c r="C2957" s="3">
        <f t="shared" si="190"/>
        <v>4441549.1882525487</v>
      </c>
      <c r="D2957" s="3">
        <f t="shared" si="188"/>
        <v>6.6807329654693604E-2</v>
      </c>
      <c r="E2957" s="8">
        <f t="shared" si="189"/>
        <v>421.57142857142856</v>
      </c>
    </row>
    <row r="2958" spans="1:5" ht="18.5" x14ac:dyDescent="0.45">
      <c r="A2958" s="3">
        <v>2952</v>
      </c>
      <c r="B2958" s="9">
        <f t="shared" si="187"/>
        <v>0.99998857505263827</v>
      </c>
      <c r="C2958" s="3">
        <f t="shared" si="190"/>
        <v>4441549.2549537979</v>
      </c>
      <c r="D2958" s="3">
        <f t="shared" si="188"/>
        <v>6.6701249219477177E-2</v>
      </c>
      <c r="E2958" s="8">
        <f t="shared" si="189"/>
        <v>421.71428571428572</v>
      </c>
    </row>
    <row r="2959" spans="1:5" ht="18.5" x14ac:dyDescent="0.45">
      <c r="A2959" s="3">
        <v>2953</v>
      </c>
      <c r="B2959" s="9">
        <f t="shared" si="187"/>
        <v>0.99998859004619201</v>
      </c>
      <c r="C2959" s="3">
        <f t="shared" si="190"/>
        <v>4441549.321549166</v>
      </c>
      <c r="D2959" s="3">
        <f t="shared" si="188"/>
        <v>6.6595368087291718E-2</v>
      </c>
      <c r="E2959" s="8">
        <f t="shared" si="189"/>
        <v>421.85714285714283</v>
      </c>
    </row>
    <row r="2960" spans="1:5" ht="18.5" x14ac:dyDescent="0.45">
      <c r="A2960" s="3">
        <v>2954</v>
      </c>
      <c r="B2960" s="9">
        <f t="shared" si="187"/>
        <v>0.99998860501595166</v>
      </c>
      <c r="C2960" s="3">
        <f t="shared" si="190"/>
        <v>4441549.3880388513</v>
      </c>
      <c r="D2960" s="3">
        <f t="shared" si="188"/>
        <v>6.6489685326814651E-2</v>
      </c>
      <c r="E2960" s="8">
        <f t="shared" si="189"/>
        <v>422</v>
      </c>
    </row>
    <row r="2961" spans="1:5" ht="18.5" x14ac:dyDescent="0.45">
      <c r="A2961" s="3">
        <v>2955</v>
      </c>
      <c r="B2961" s="9">
        <f t="shared" si="187"/>
        <v>0.99998861996196176</v>
      </c>
      <c r="C2961" s="3">
        <f t="shared" si="190"/>
        <v>4441549.4544230495</v>
      </c>
      <c r="D2961" s="3">
        <f t="shared" si="188"/>
        <v>6.6384198144078255E-2</v>
      </c>
      <c r="E2961" s="8">
        <f t="shared" si="189"/>
        <v>422.14285714285717</v>
      </c>
    </row>
    <row r="2962" spans="1:5" ht="18.5" x14ac:dyDescent="0.45">
      <c r="A2962" s="3">
        <v>2956</v>
      </c>
      <c r="B2962" s="9">
        <f t="shared" si="187"/>
        <v>0.99998863488426681</v>
      </c>
      <c r="C2962" s="3">
        <f t="shared" si="190"/>
        <v>4441549.5207019597</v>
      </c>
      <c r="D2962" s="3">
        <f t="shared" si="188"/>
        <v>6.6278910264372826E-2</v>
      </c>
      <c r="E2962" s="8">
        <f t="shared" si="189"/>
        <v>422.28571428571428</v>
      </c>
    </row>
    <row r="2963" spans="1:5" ht="18.5" x14ac:dyDescent="0.45">
      <c r="A2963" s="3">
        <v>2957</v>
      </c>
      <c r="B2963" s="9">
        <f t="shared" si="187"/>
        <v>0.99998864978291091</v>
      </c>
      <c r="C2963" s="3">
        <f t="shared" si="190"/>
        <v>4441549.5868757768</v>
      </c>
      <c r="D2963" s="3">
        <f t="shared" si="188"/>
        <v>6.6173817031085491E-2</v>
      </c>
      <c r="E2963" s="8">
        <f t="shared" si="189"/>
        <v>422.42857142857144</v>
      </c>
    </row>
    <row r="2964" spans="1:5" ht="18.5" x14ac:dyDescent="0.45">
      <c r="A2964" s="3">
        <v>2958</v>
      </c>
      <c r="B2964" s="9">
        <f t="shared" si="187"/>
        <v>0.99998866465793845</v>
      </c>
      <c r="C2964" s="3">
        <f t="shared" si="190"/>
        <v>4441549.6529446999</v>
      </c>
      <c r="D2964" s="3">
        <f t="shared" si="188"/>
        <v>6.6068923100829124E-2</v>
      </c>
      <c r="E2964" s="8">
        <f t="shared" si="189"/>
        <v>422.57142857142856</v>
      </c>
    </row>
    <row r="2965" spans="1:5" ht="18.5" x14ac:dyDescent="0.45">
      <c r="A2965" s="3">
        <v>2959</v>
      </c>
      <c r="B2965" s="9">
        <f t="shared" si="187"/>
        <v>0.99998867950939352</v>
      </c>
      <c r="C2965" s="3">
        <f t="shared" si="190"/>
        <v>4441549.7189089218</v>
      </c>
      <c r="D2965" s="3">
        <f t="shared" si="188"/>
        <v>6.5964221954345703E-2</v>
      </c>
      <c r="E2965" s="8">
        <f t="shared" si="189"/>
        <v>422.71428571428572</v>
      </c>
    </row>
    <row r="2966" spans="1:5" ht="18.5" x14ac:dyDescent="0.45">
      <c r="A2966" s="3">
        <v>2960</v>
      </c>
      <c r="B2966" s="9">
        <f t="shared" si="187"/>
        <v>0.99998869433732007</v>
      </c>
      <c r="C2966" s="3">
        <f t="shared" si="190"/>
        <v>4441549.784768641</v>
      </c>
      <c r="D2966" s="3">
        <f t="shared" si="188"/>
        <v>6.5859719179570675E-2</v>
      </c>
      <c r="E2966" s="8">
        <f t="shared" si="189"/>
        <v>422.85714285714283</v>
      </c>
    </row>
    <row r="2967" spans="1:5" ht="18.5" x14ac:dyDescent="0.45">
      <c r="A2967" s="3">
        <v>2961</v>
      </c>
      <c r="B2967" s="9">
        <f t="shared" si="187"/>
        <v>0.99998870914176208</v>
      </c>
      <c r="C2967" s="3">
        <f t="shared" si="190"/>
        <v>4441549.8505240502</v>
      </c>
      <c r="D2967" s="3">
        <f t="shared" si="188"/>
        <v>6.5755409188568592E-2</v>
      </c>
      <c r="E2967" s="8">
        <f t="shared" si="189"/>
        <v>423</v>
      </c>
    </row>
    <row r="2968" spans="1:5" ht="18.5" x14ac:dyDescent="0.45">
      <c r="A2968" s="3">
        <v>2962</v>
      </c>
      <c r="B2968" s="9">
        <f t="shared" si="187"/>
        <v>0.99998872392276328</v>
      </c>
      <c r="C2968" s="3">
        <f t="shared" si="190"/>
        <v>4441549.916175345</v>
      </c>
      <c r="D2968" s="3">
        <f t="shared" si="188"/>
        <v>6.5651294775307178E-2</v>
      </c>
      <c r="E2968" s="8">
        <f t="shared" si="189"/>
        <v>423.14285714285717</v>
      </c>
    </row>
    <row r="2969" spans="1:5" ht="18.5" x14ac:dyDescent="0.45">
      <c r="A2969" s="3">
        <v>2963</v>
      </c>
      <c r="B2969" s="9">
        <f t="shared" si="187"/>
        <v>0.99998873868036753</v>
      </c>
      <c r="C2969" s="3">
        <f t="shared" si="190"/>
        <v>4441549.98172272</v>
      </c>
      <c r="D2969" s="3">
        <f t="shared" si="188"/>
        <v>6.554737500846386E-2</v>
      </c>
      <c r="E2969" s="8">
        <f t="shared" si="189"/>
        <v>423.28571428571428</v>
      </c>
    </row>
    <row r="2970" spans="1:5" ht="18.5" x14ac:dyDescent="0.45">
      <c r="A2970" s="3">
        <v>2964</v>
      </c>
      <c r="B2970" s="9">
        <f t="shared" si="187"/>
        <v>0.99998875341461835</v>
      </c>
      <c r="C2970" s="3">
        <f t="shared" si="190"/>
        <v>4441550.0471663689</v>
      </c>
      <c r="D2970" s="3">
        <f t="shared" si="188"/>
        <v>6.5443648956716061E-2</v>
      </c>
      <c r="E2970" s="8">
        <f t="shared" si="189"/>
        <v>423.42857142857144</v>
      </c>
    </row>
    <row r="2971" spans="1:5" ht="18.5" x14ac:dyDescent="0.45">
      <c r="A2971" s="3">
        <v>2965</v>
      </c>
      <c r="B2971" s="9">
        <f t="shared" si="187"/>
        <v>0.99998876812555937</v>
      </c>
      <c r="C2971" s="3">
        <f t="shared" si="190"/>
        <v>4441550.1125064846</v>
      </c>
      <c r="D2971" s="3">
        <f t="shared" si="188"/>
        <v>6.5340115688741207E-2</v>
      </c>
      <c r="E2971" s="8">
        <f t="shared" si="189"/>
        <v>423.57142857142856</v>
      </c>
    </row>
    <row r="2972" spans="1:5" ht="18.5" x14ac:dyDescent="0.45">
      <c r="A2972" s="3">
        <v>2966</v>
      </c>
      <c r="B2972" s="9">
        <f t="shared" si="187"/>
        <v>0.99998878281323411</v>
      </c>
      <c r="C2972" s="3">
        <f t="shared" si="190"/>
        <v>4441550.1777432607</v>
      </c>
      <c r="D2972" s="3">
        <f t="shared" si="188"/>
        <v>6.5236776135861874E-2</v>
      </c>
      <c r="E2972" s="8">
        <f t="shared" si="189"/>
        <v>423.71428571428572</v>
      </c>
    </row>
    <row r="2973" spans="1:5" ht="18.5" x14ac:dyDescent="0.45">
      <c r="A2973" s="3">
        <v>2967</v>
      </c>
      <c r="B2973" s="9">
        <f t="shared" si="187"/>
        <v>0.99998879747768565</v>
      </c>
      <c r="C2973" s="3">
        <f t="shared" si="190"/>
        <v>4441550.2428768883</v>
      </c>
      <c r="D2973" s="3">
        <f t="shared" si="188"/>
        <v>6.5133627504110336E-2</v>
      </c>
      <c r="E2973" s="8">
        <f t="shared" si="189"/>
        <v>423.85714285714283</v>
      </c>
    </row>
    <row r="2974" spans="1:5" ht="18.5" x14ac:dyDescent="0.45">
      <c r="A2974" s="3">
        <v>2968</v>
      </c>
      <c r="B2974" s="9">
        <f t="shared" si="187"/>
        <v>0.99998881211895763</v>
      </c>
      <c r="C2974" s="3">
        <f t="shared" si="190"/>
        <v>4441550.3079075618</v>
      </c>
      <c r="D2974" s="3">
        <f t="shared" si="188"/>
        <v>6.5030673518776894E-2</v>
      </c>
      <c r="E2974" s="8">
        <f t="shared" si="189"/>
        <v>424</v>
      </c>
    </row>
    <row r="2975" spans="1:5" ht="18.5" x14ac:dyDescent="0.45">
      <c r="A2975" s="3">
        <v>2969</v>
      </c>
      <c r="B2975" s="9">
        <f t="shared" si="187"/>
        <v>0.99998882673709288</v>
      </c>
      <c r="C2975" s="3">
        <f t="shared" si="190"/>
        <v>4441550.3728354713</v>
      </c>
      <c r="D2975" s="3">
        <f t="shared" si="188"/>
        <v>6.4927909523248672E-2</v>
      </c>
      <c r="E2975" s="8">
        <f t="shared" si="189"/>
        <v>424.14285714285717</v>
      </c>
    </row>
    <row r="2976" spans="1:5" ht="18.5" x14ac:dyDescent="0.45">
      <c r="A2976" s="3">
        <v>2970</v>
      </c>
      <c r="B2976" s="9">
        <f t="shared" si="187"/>
        <v>0.99998884133213473</v>
      </c>
      <c r="C2976" s="3">
        <f t="shared" si="190"/>
        <v>4441550.4376608096</v>
      </c>
      <c r="D2976" s="3">
        <f t="shared" si="188"/>
        <v>6.4825338311493397E-2</v>
      </c>
      <c r="E2976" s="8">
        <f t="shared" si="189"/>
        <v>424.28571428571428</v>
      </c>
    </row>
    <row r="2977" spans="1:5" ht="18.5" x14ac:dyDescent="0.45">
      <c r="A2977" s="3">
        <v>2971</v>
      </c>
      <c r="B2977" s="9">
        <f t="shared" si="187"/>
        <v>0.99998885590412601</v>
      </c>
      <c r="C2977" s="3">
        <f t="shared" si="190"/>
        <v>4441550.5023837658</v>
      </c>
      <c r="D2977" s="3">
        <f t="shared" si="188"/>
        <v>6.4722956158220768E-2</v>
      </c>
      <c r="E2977" s="8">
        <f t="shared" si="189"/>
        <v>424.42857142857144</v>
      </c>
    </row>
    <row r="2978" spans="1:5" ht="18.5" x14ac:dyDescent="0.45">
      <c r="A2978" s="3">
        <v>2972</v>
      </c>
      <c r="B2978" s="9">
        <f t="shared" si="187"/>
        <v>0.99998887045310969</v>
      </c>
      <c r="C2978" s="3">
        <f t="shared" si="190"/>
        <v>4441550.5670045316</v>
      </c>
      <c r="D2978" s="3">
        <f t="shared" si="188"/>
        <v>6.462076585739851E-2</v>
      </c>
      <c r="E2978" s="8">
        <f t="shared" si="189"/>
        <v>424.57142857142856</v>
      </c>
    </row>
    <row r="2979" spans="1:5" ht="18.5" x14ac:dyDescent="0.45">
      <c r="A2979" s="3">
        <v>2973</v>
      </c>
      <c r="B2979" s="9">
        <f t="shared" si="187"/>
        <v>0.99998888497912852</v>
      </c>
      <c r="C2979" s="3">
        <f t="shared" si="190"/>
        <v>4441550.6315232972</v>
      </c>
      <c r="D2979" s="3">
        <f t="shared" si="188"/>
        <v>6.4518765546381474E-2</v>
      </c>
      <c r="E2979" s="8">
        <f t="shared" si="189"/>
        <v>424.71428571428572</v>
      </c>
    </row>
    <row r="2980" spans="1:5" ht="18.5" x14ac:dyDescent="0.45">
      <c r="A2980" s="3">
        <v>2974</v>
      </c>
      <c r="B2980" s="9">
        <f t="shared" si="187"/>
        <v>0.99998889948222536</v>
      </c>
      <c r="C2980" s="3">
        <f t="shared" si="190"/>
        <v>4441550.6959402524</v>
      </c>
      <c r="D2980" s="3">
        <f t="shared" si="188"/>
        <v>6.4416955225169659E-2</v>
      </c>
      <c r="E2980" s="8">
        <f t="shared" si="189"/>
        <v>424.85714285714283</v>
      </c>
    </row>
    <row r="2981" spans="1:5" ht="18.5" x14ac:dyDescent="0.45">
      <c r="A2981" s="3">
        <v>2975</v>
      </c>
      <c r="B2981" s="9">
        <f t="shared" si="187"/>
        <v>0.9999889139624426</v>
      </c>
      <c r="C2981" s="3">
        <f t="shared" si="190"/>
        <v>4441550.7602555854</v>
      </c>
      <c r="D2981" s="3">
        <f t="shared" si="188"/>
        <v>6.4315333031117916E-2</v>
      </c>
      <c r="E2981" s="8">
        <f t="shared" si="189"/>
        <v>425</v>
      </c>
    </row>
    <row r="2982" spans="1:5" ht="18.5" x14ac:dyDescent="0.45">
      <c r="A2982" s="3">
        <v>2976</v>
      </c>
      <c r="B2982" s="9">
        <f t="shared" si="187"/>
        <v>0.9999889284198229</v>
      </c>
      <c r="C2982" s="3">
        <f t="shared" si="190"/>
        <v>4441550.8244694853</v>
      </c>
      <c r="D2982" s="3">
        <f t="shared" si="188"/>
        <v>6.421389989554882E-2</v>
      </c>
      <c r="E2982" s="8">
        <f t="shared" si="189"/>
        <v>425.14285714285717</v>
      </c>
    </row>
    <row r="2983" spans="1:5" ht="18.5" x14ac:dyDescent="0.45">
      <c r="A2983" s="3">
        <v>2977</v>
      </c>
      <c r="B2983" s="9">
        <f t="shared" si="187"/>
        <v>0.99998894285440865</v>
      </c>
      <c r="C2983" s="3">
        <f t="shared" si="190"/>
        <v>4441550.8885821411</v>
      </c>
      <c r="D2983" s="3">
        <f t="shared" si="188"/>
        <v>6.4112655818462372E-2</v>
      </c>
      <c r="E2983" s="8">
        <f t="shared" si="189"/>
        <v>425.28571428571428</v>
      </c>
    </row>
    <row r="2984" spans="1:5" ht="18.5" x14ac:dyDescent="0.45">
      <c r="A2984" s="3">
        <v>2978</v>
      </c>
      <c r="B2984" s="9">
        <f t="shared" ref="B2984:B3006" si="191">LOGNORMDIST(A2984,$A$3,$B$3)</f>
        <v>0.99998895726624215</v>
      </c>
      <c r="C2984" s="3">
        <f t="shared" si="190"/>
        <v>4441550.952593741</v>
      </c>
      <c r="D2984" s="3">
        <f t="shared" ref="D2984:D3006" si="192">C2984-C2983</f>
        <v>6.4011599868535995E-2</v>
      </c>
      <c r="E2984" s="8">
        <f t="shared" ref="E2984:E3006" si="193">A2984/7</f>
        <v>425.42857142857144</v>
      </c>
    </row>
    <row r="2985" spans="1:5" ht="18.5" x14ac:dyDescent="0.45">
      <c r="A2985" s="3">
        <v>2979</v>
      </c>
      <c r="B2985" s="9">
        <f t="shared" si="191"/>
        <v>0.99998897165536582</v>
      </c>
      <c r="C2985" s="3">
        <f t="shared" si="190"/>
        <v>4441551.0165044731</v>
      </c>
      <c r="D2985" s="3">
        <f t="shared" si="192"/>
        <v>6.3910732045769691E-2</v>
      </c>
      <c r="E2985" s="8">
        <f t="shared" si="193"/>
        <v>425.57142857142856</v>
      </c>
    </row>
    <row r="2986" spans="1:5" ht="18.5" x14ac:dyDescent="0.45">
      <c r="A2986" s="3">
        <v>2980</v>
      </c>
      <c r="B2986" s="9">
        <f t="shared" si="191"/>
        <v>0.99998898602182162</v>
      </c>
      <c r="C2986" s="3">
        <f t="shared" si="190"/>
        <v>4441551.0803145226</v>
      </c>
      <c r="D2986" s="3">
        <f t="shared" si="192"/>
        <v>6.3810049556195736E-2</v>
      </c>
      <c r="E2986" s="8">
        <f t="shared" si="193"/>
        <v>425.71428571428572</v>
      </c>
    </row>
    <row r="2987" spans="1:5" ht="18.5" x14ac:dyDescent="0.45">
      <c r="A2987" s="3">
        <v>2981</v>
      </c>
      <c r="B2987" s="9">
        <f t="shared" si="191"/>
        <v>0.99998900036565175</v>
      </c>
      <c r="C2987" s="3">
        <f t="shared" si="190"/>
        <v>4441551.1440240787</v>
      </c>
      <c r="D2987" s="3">
        <f t="shared" si="192"/>
        <v>6.3709556125104427E-2</v>
      </c>
      <c r="E2987" s="8">
        <f t="shared" si="193"/>
        <v>425.85714285714283</v>
      </c>
    </row>
    <row r="2988" spans="1:5" ht="18.5" x14ac:dyDescent="0.45">
      <c r="A2988" s="3">
        <v>2982</v>
      </c>
      <c r="B2988" s="9">
        <f t="shared" si="191"/>
        <v>0.99998901468689816</v>
      </c>
      <c r="C2988" s="3">
        <f t="shared" si="190"/>
        <v>4441551.2076333268</v>
      </c>
      <c r="D2988" s="3">
        <f t="shared" si="192"/>
        <v>6.3609248027205467E-2</v>
      </c>
      <c r="E2988" s="8">
        <f t="shared" si="193"/>
        <v>426</v>
      </c>
    </row>
    <row r="2989" spans="1:5" ht="18.5" x14ac:dyDescent="0.45">
      <c r="A2989" s="3">
        <v>2983</v>
      </c>
      <c r="B2989" s="9">
        <f t="shared" si="191"/>
        <v>0.99998902898560282</v>
      </c>
      <c r="C2989" s="3">
        <f t="shared" si="190"/>
        <v>4441551.2711424539</v>
      </c>
      <c r="D2989" s="3">
        <f t="shared" si="192"/>
        <v>6.3509127125144005E-2</v>
      </c>
      <c r="E2989" s="8">
        <f t="shared" si="193"/>
        <v>426.14285714285717</v>
      </c>
    </row>
    <row r="2990" spans="1:5" ht="18.5" x14ac:dyDescent="0.45">
      <c r="A2990" s="3">
        <v>2984</v>
      </c>
      <c r="B2990" s="9">
        <f t="shared" si="191"/>
        <v>0.99998904326180738</v>
      </c>
      <c r="C2990" s="3">
        <f t="shared" si="190"/>
        <v>4441551.3345516436</v>
      </c>
      <c r="D2990" s="3">
        <f t="shared" si="192"/>
        <v>6.3409189693629742E-2</v>
      </c>
      <c r="E2990" s="8">
        <f t="shared" si="193"/>
        <v>426.28571428571428</v>
      </c>
    </row>
    <row r="2991" spans="1:5" ht="18.5" x14ac:dyDescent="0.45">
      <c r="A2991" s="3">
        <v>2985</v>
      </c>
      <c r="B2991" s="9">
        <f t="shared" si="191"/>
        <v>0.99998905751555356</v>
      </c>
      <c r="C2991" s="3">
        <f t="shared" si="190"/>
        <v>4441551.397861083</v>
      </c>
      <c r="D2991" s="3">
        <f t="shared" si="192"/>
        <v>6.3309439457952976E-2</v>
      </c>
      <c r="E2991" s="8">
        <f t="shared" si="193"/>
        <v>426.42857142857144</v>
      </c>
    </row>
    <row r="2992" spans="1:5" ht="18.5" x14ac:dyDescent="0.45">
      <c r="A2992" s="3">
        <v>2986</v>
      </c>
      <c r="B2992" s="9">
        <f t="shared" si="191"/>
        <v>0.99998907174688323</v>
      </c>
      <c r="C2992" s="3">
        <f t="shared" si="190"/>
        <v>4441551.4610709567</v>
      </c>
      <c r="D2992" s="3">
        <f t="shared" si="192"/>
        <v>6.3209873624145985E-2</v>
      </c>
      <c r="E2992" s="8">
        <f t="shared" si="193"/>
        <v>426.57142857142856</v>
      </c>
    </row>
    <row r="2993" spans="1:5" ht="18.5" x14ac:dyDescent="0.45">
      <c r="A2993" s="3">
        <v>2987</v>
      </c>
      <c r="B2993" s="9">
        <f t="shared" si="191"/>
        <v>0.99998908595583758</v>
      </c>
      <c r="C2993" s="3">
        <f t="shared" si="190"/>
        <v>4441551.5241814479</v>
      </c>
      <c r="D2993" s="3">
        <f t="shared" si="192"/>
        <v>6.3110491260886192E-2</v>
      </c>
      <c r="E2993" s="8">
        <f t="shared" si="193"/>
        <v>426.71428571428572</v>
      </c>
    </row>
    <row r="2994" spans="1:5" ht="18.5" x14ac:dyDescent="0.45">
      <c r="A2994" s="3">
        <v>2988</v>
      </c>
      <c r="B2994" s="9">
        <f t="shared" si="191"/>
        <v>0.99998910014245823</v>
      </c>
      <c r="C2994" s="3">
        <f t="shared" si="190"/>
        <v>4441551.5871927422</v>
      </c>
      <c r="D2994" s="3">
        <f t="shared" si="192"/>
        <v>6.3011294230818748E-2</v>
      </c>
      <c r="E2994" s="8">
        <f t="shared" si="193"/>
        <v>426.85714285714283</v>
      </c>
    </row>
    <row r="2995" spans="1:5" ht="18.5" x14ac:dyDescent="0.45">
      <c r="A2995" s="3">
        <v>2989</v>
      </c>
      <c r="B2995" s="9">
        <f t="shared" si="191"/>
        <v>0.99998911430678661</v>
      </c>
      <c r="C2995" s="3">
        <f t="shared" si="190"/>
        <v>4441551.6501050238</v>
      </c>
      <c r="D2995" s="3">
        <f t="shared" si="192"/>
        <v>6.2912281602621078E-2</v>
      </c>
      <c r="E2995" s="8">
        <f t="shared" si="193"/>
        <v>427</v>
      </c>
    </row>
    <row r="2996" spans="1:5" ht="18.5" x14ac:dyDescent="0.45">
      <c r="A2996" s="3">
        <v>2990</v>
      </c>
      <c r="B2996" s="9">
        <f t="shared" si="191"/>
        <v>0.9999891284488639</v>
      </c>
      <c r="C2996" s="3">
        <f t="shared" si="190"/>
        <v>4441551.7129184743</v>
      </c>
      <c r="D2996" s="3">
        <f t="shared" si="192"/>
        <v>6.2813450582325459E-2</v>
      </c>
      <c r="E2996" s="8">
        <f t="shared" si="193"/>
        <v>427.14285714285717</v>
      </c>
    </row>
    <row r="2997" spans="1:5" ht="18.5" x14ac:dyDescent="0.45">
      <c r="A2997" s="3">
        <v>2991</v>
      </c>
      <c r="B2997" s="9">
        <f t="shared" si="191"/>
        <v>0.99998914256873117</v>
      </c>
      <c r="C2997" s="3">
        <f t="shared" si="190"/>
        <v>4441551.7756332764</v>
      </c>
      <c r="D2997" s="3">
        <f t="shared" si="192"/>
        <v>6.2714802101254463E-2</v>
      </c>
      <c r="E2997" s="8">
        <f t="shared" si="193"/>
        <v>427.28571428571428</v>
      </c>
    </row>
    <row r="2998" spans="1:5" ht="18.5" x14ac:dyDescent="0.45">
      <c r="A2998" s="3">
        <v>2992</v>
      </c>
      <c r="B2998" s="9">
        <f t="shared" si="191"/>
        <v>0.99998915666642973</v>
      </c>
      <c r="C2998" s="3">
        <f t="shared" si="190"/>
        <v>4441551.8382496145</v>
      </c>
      <c r="D2998" s="3">
        <f t="shared" si="192"/>
        <v>6.2616338022053242E-2</v>
      </c>
      <c r="E2998" s="8">
        <f t="shared" si="193"/>
        <v>427.42857142857144</v>
      </c>
    </row>
    <row r="2999" spans="1:5" ht="18.5" x14ac:dyDescent="0.45">
      <c r="A2999" s="3">
        <v>2993</v>
      </c>
      <c r="B2999" s="9">
        <f t="shared" si="191"/>
        <v>0.99998917074200044</v>
      </c>
      <c r="C2999" s="3">
        <f t="shared" si="190"/>
        <v>4441551.9007676691</v>
      </c>
      <c r="D2999" s="3">
        <f t="shared" si="192"/>
        <v>6.2518054619431496E-2</v>
      </c>
      <c r="E2999" s="8">
        <f t="shared" si="193"/>
        <v>427.57142857142856</v>
      </c>
    </row>
    <row r="3000" spans="1:5" ht="18.5" x14ac:dyDescent="0.45">
      <c r="A3000" s="3">
        <v>2994</v>
      </c>
      <c r="B3000" s="9">
        <f t="shared" si="191"/>
        <v>0.99998918479548426</v>
      </c>
      <c r="C3000" s="3">
        <f t="shared" si="190"/>
        <v>4441551.9631876228</v>
      </c>
      <c r="D3000" s="3">
        <f t="shared" si="192"/>
        <v>6.2419953756034374E-2</v>
      </c>
      <c r="E3000" s="8">
        <f t="shared" si="193"/>
        <v>427.71428571428572</v>
      </c>
    </row>
    <row r="3001" spans="1:5" ht="18.5" x14ac:dyDescent="0.45">
      <c r="A3001" s="3">
        <v>2995</v>
      </c>
      <c r="B3001" s="9">
        <f t="shared" si="191"/>
        <v>0.99998919882692205</v>
      </c>
      <c r="C3001" s="3">
        <f t="shared" si="190"/>
        <v>4441552.0255096573</v>
      </c>
      <c r="D3001" s="3">
        <f t="shared" si="192"/>
        <v>6.2322034500539303E-2</v>
      </c>
      <c r="E3001" s="8">
        <f t="shared" si="193"/>
        <v>427.85714285714283</v>
      </c>
    </row>
    <row r="3002" spans="1:5" ht="18.5" x14ac:dyDescent="0.45">
      <c r="A3002" s="3">
        <v>2996</v>
      </c>
      <c r="B3002" s="9">
        <f t="shared" si="191"/>
        <v>0.99998921283635445</v>
      </c>
      <c r="C3002" s="3">
        <f t="shared" si="190"/>
        <v>4441552.0877339523</v>
      </c>
      <c r="D3002" s="3">
        <f t="shared" si="192"/>
        <v>6.2224294990301132E-2</v>
      </c>
      <c r="E3002" s="8">
        <f t="shared" si="193"/>
        <v>428</v>
      </c>
    </row>
    <row r="3003" spans="1:5" ht="18.5" x14ac:dyDescent="0.45">
      <c r="A3003" s="3">
        <v>2997</v>
      </c>
      <c r="B3003" s="9">
        <f t="shared" si="191"/>
        <v>0.9999892268238223</v>
      </c>
      <c r="C3003" s="3">
        <f t="shared" si="190"/>
        <v>4441552.1498606894</v>
      </c>
      <c r="D3003" s="3">
        <f t="shared" si="192"/>
        <v>6.2126737087965012E-2</v>
      </c>
      <c r="E3003" s="8">
        <f t="shared" si="193"/>
        <v>428.14285714285717</v>
      </c>
    </row>
    <row r="3004" spans="1:5" ht="18.5" x14ac:dyDescent="0.45">
      <c r="A3004" s="3">
        <v>2998</v>
      </c>
      <c r="B3004" s="9">
        <f t="shared" si="191"/>
        <v>0.99998924078936591</v>
      </c>
      <c r="C3004" s="3">
        <f t="shared" si="190"/>
        <v>4441552.2118900474</v>
      </c>
      <c r="D3004" s="3">
        <f t="shared" si="192"/>
        <v>6.2029357999563217E-2</v>
      </c>
      <c r="E3004" s="8">
        <f t="shared" si="193"/>
        <v>428.28571428571428</v>
      </c>
    </row>
    <row r="3005" spans="1:5" ht="18.5" x14ac:dyDescent="0.45">
      <c r="A3005" s="3">
        <v>2999</v>
      </c>
      <c r="B3005" s="9">
        <f t="shared" si="191"/>
        <v>0.99998925473302602</v>
      </c>
      <c r="C3005" s="3">
        <f t="shared" si="190"/>
        <v>4441552.2738222079</v>
      </c>
      <c r="D3005" s="3">
        <f t="shared" si="192"/>
        <v>6.1932160519063473E-2</v>
      </c>
      <c r="E3005" s="8">
        <f t="shared" si="193"/>
        <v>428.42857142857144</v>
      </c>
    </row>
    <row r="3006" spans="1:5" ht="18.5" x14ac:dyDescent="0.45">
      <c r="A3006" s="3">
        <v>3000</v>
      </c>
      <c r="B3006" s="9">
        <f t="shared" si="191"/>
        <v>0.99998926865484283</v>
      </c>
      <c r="C3006" s="3">
        <f t="shared" si="190"/>
        <v>4441552.3356573498</v>
      </c>
      <c r="D3006" s="3">
        <f t="shared" si="192"/>
        <v>6.1835141852498055E-2</v>
      </c>
      <c r="E3006" s="8">
        <f t="shared" si="193"/>
        <v>428.57142857142856</v>
      </c>
    </row>
    <row r="3007" spans="1:5" ht="18.5" x14ac:dyDescent="0.45">
      <c r="A3007" s="3"/>
      <c r="B3007" s="9">
        <f>SUM(B7:B3006)</f>
        <v>2956.3431078121152</v>
      </c>
      <c r="C3007" s="3">
        <f>SUM(C7:C3006)</f>
        <v>13130893547.658272</v>
      </c>
      <c r="D3007" s="3"/>
      <c r="E3007" s="8"/>
    </row>
    <row r="3008" spans="1:5" ht="18.5" x14ac:dyDescent="0.45">
      <c r="A3008" s="3"/>
      <c r="B3008" s="9"/>
      <c r="C3008" s="3"/>
      <c r="D3008" s="3"/>
      <c r="E3008" s="8"/>
    </row>
  </sheetData>
  <phoneticPr fontId="35" type="noConversion"/>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78"/>
  <sheetViews>
    <sheetView zoomScale="110" zoomScaleNormal="110" zoomScalePageLayoutView="110" workbookViewId="0">
      <pane ySplit="2" topLeftCell="A207" activePane="bottomLeft" state="frozen"/>
      <selection pane="bottomLeft" activeCell="E217" sqref="E217"/>
    </sheetView>
  </sheetViews>
  <sheetFormatPr defaultColWidth="9.1796875" defaultRowHeight="14.5" x14ac:dyDescent="0.35"/>
  <cols>
    <col min="1" max="1" width="38.26953125" style="49" bestFit="1" customWidth="1"/>
    <col min="2" max="2" width="4.1796875" style="50" bestFit="1" customWidth="1"/>
    <col min="3" max="3" width="6.26953125" style="50" bestFit="1" customWidth="1"/>
    <col min="4" max="4" width="10.81640625" style="429" bestFit="1" customWidth="1"/>
    <col min="5" max="5" width="8.453125" style="429" bestFit="1" customWidth="1"/>
    <col min="6" max="7" width="9" style="429" bestFit="1" customWidth="1"/>
    <col min="8" max="8" width="10.54296875" style="429" customWidth="1"/>
    <col min="9" max="9" width="12.81640625" style="545" customWidth="1"/>
    <col min="10" max="16384" width="9.1796875" style="10"/>
  </cols>
  <sheetData>
    <row r="1" spans="1:9" x14ac:dyDescent="0.35">
      <c r="D1" s="1063" t="s">
        <v>378</v>
      </c>
      <c r="E1" s="1064"/>
      <c r="F1" s="1064"/>
      <c r="G1" s="1064"/>
      <c r="H1" s="1064"/>
      <c r="I1" s="545" t="str">
        <f>"2013 Census "&amp;'Calibration Data'!$G$2</f>
        <v>2013 Census NZ</v>
      </c>
    </row>
    <row r="2" spans="1:9" x14ac:dyDescent="0.35">
      <c r="D2" s="639" t="s">
        <v>377</v>
      </c>
      <c r="E2" s="429" t="s">
        <v>274</v>
      </c>
      <c r="F2" s="429" t="s">
        <v>64</v>
      </c>
      <c r="G2" s="429" t="s">
        <v>63</v>
      </c>
      <c r="H2" s="429" t="s">
        <v>62</v>
      </c>
      <c r="I2" s="545">
        <f>'Calibration Data'!$R$146</f>
        <v>4441600</v>
      </c>
    </row>
    <row r="3" spans="1:9" x14ac:dyDescent="0.35">
      <c r="A3" s="49" t="s">
        <v>71</v>
      </c>
      <c r="B3" s="50">
        <v>1</v>
      </c>
      <c r="C3" s="50" t="s">
        <v>2</v>
      </c>
      <c r="D3" s="429">
        <f>Baseline!B6*($I$2)</f>
        <v>160174.75631992437</v>
      </c>
      <c r="E3" s="545">
        <v>0</v>
      </c>
      <c r="F3" s="638">
        <v>0</v>
      </c>
      <c r="G3" s="545">
        <v>0</v>
      </c>
      <c r="H3" s="545">
        <v>0</v>
      </c>
    </row>
    <row r="4" spans="1:9" x14ac:dyDescent="0.35">
      <c r="A4" s="49" t="s">
        <v>71</v>
      </c>
      <c r="B4" s="50">
        <v>1</v>
      </c>
      <c r="C4" s="50" t="s">
        <v>40</v>
      </c>
      <c r="D4" s="429">
        <f>Baseline!B7*($I$2)</f>
        <v>305751.81324989308</v>
      </c>
      <c r="E4" s="545">
        <v>0</v>
      </c>
      <c r="F4" s="638">
        <v>0</v>
      </c>
      <c r="G4" s="545">
        <v>0</v>
      </c>
      <c r="H4" s="545">
        <v>0</v>
      </c>
    </row>
    <row r="5" spans="1:9" x14ac:dyDescent="0.35">
      <c r="A5" s="49" t="s">
        <v>71</v>
      </c>
      <c r="B5" s="50">
        <v>1</v>
      </c>
      <c r="C5" s="50" t="s">
        <v>39</v>
      </c>
      <c r="D5" s="429">
        <f>Baseline!B8*($I$2)</f>
        <v>454628.35017896135</v>
      </c>
      <c r="E5" s="545">
        <v>4.6952092399999999E-2</v>
      </c>
      <c r="F5" s="545">
        <v>3.0342167728999998</v>
      </c>
      <c r="G5" s="545">
        <v>0.15472526879999998</v>
      </c>
      <c r="H5" s="545">
        <v>3.1889420416999998</v>
      </c>
    </row>
    <row r="6" spans="1:9" x14ac:dyDescent="0.35">
      <c r="A6" s="49" t="s">
        <v>71</v>
      </c>
      <c r="B6" s="50">
        <v>1</v>
      </c>
      <c r="C6" s="50" t="s">
        <v>38</v>
      </c>
      <c r="D6" s="429">
        <f>Baseline!B9*($I$2)</f>
        <v>411135.20473628526</v>
      </c>
      <c r="E6" s="545">
        <v>7.9572474000000004E-2</v>
      </c>
      <c r="F6" s="545">
        <v>3.8381002926000001</v>
      </c>
      <c r="G6" s="545">
        <v>0.2571047789</v>
      </c>
      <c r="H6" s="545">
        <v>4.0952050715999997</v>
      </c>
    </row>
    <row r="7" spans="1:9" x14ac:dyDescent="0.35">
      <c r="A7" s="49" t="s">
        <v>71</v>
      </c>
      <c r="B7" s="50">
        <v>1</v>
      </c>
      <c r="C7" s="50" t="s">
        <v>37</v>
      </c>
      <c r="D7" s="429">
        <f>Baseline!B10*($I$2)</f>
        <v>433931.61200279137</v>
      </c>
      <c r="E7" s="545">
        <v>0.63438610549999996</v>
      </c>
      <c r="F7" s="545">
        <v>21.568821919900003</v>
      </c>
      <c r="G7" s="545">
        <v>1.6921238965000001</v>
      </c>
      <c r="H7" s="545">
        <v>23.260945815900001</v>
      </c>
    </row>
    <row r="8" spans="1:9" x14ac:dyDescent="0.35">
      <c r="A8" s="49" t="s">
        <v>71</v>
      </c>
      <c r="B8" s="50">
        <v>1</v>
      </c>
      <c r="C8" s="50" t="s">
        <v>36</v>
      </c>
      <c r="D8" s="429">
        <f>Baseline!B11*($I$2)</f>
        <v>218465.56963735004</v>
      </c>
      <c r="E8" s="545">
        <v>0.87916712470000002</v>
      </c>
      <c r="F8" s="545">
        <v>20.7346483177</v>
      </c>
      <c r="G8" s="545">
        <v>2.1811815022000003</v>
      </c>
      <c r="H8" s="545">
        <v>22.915829819999999</v>
      </c>
    </row>
    <row r="9" spans="1:9" x14ac:dyDescent="0.35">
      <c r="A9" s="49" t="s">
        <v>71</v>
      </c>
      <c r="B9" s="50">
        <v>1</v>
      </c>
      <c r="C9" s="50" t="s">
        <v>35</v>
      </c>
      <c r="D9" s="429">
        <f>Baseline!B12*($I$2)</f>
        <v>124980.30299619566</v>
      </c>
      <c r="E9" s="545">
        <v>1.0493224488999999</v>
      </c>
      <c r="F9" s="545">
        <v>15.766323804299999</v>
      </c>
      <c r="G9" s="545">
        <v>2.1369675325999999</v>
      </c>
      <c r="H9" s="545">
        <v>17.903291336899997</v>
      </c>
    </row>
    <row r="10" spans="1:9" x14ac:dyDescent="0.35">
      <c r="A10" s="49" t="s">
        <v>71</v>
      </c>
      <c r="B10" s="50">
        <v>1</v>
      </c>
      <c r="C10" s="50" t="s">
        <v>34</v>
      </c>
      <c r="D10" s="429">
        <f>Baseline!B13*($I$2)</f>
        <v>62890.088467685659</v>
      </c>
      <c r="E10" s="545">
        <v>1.5232344497999999</v>
      </c>
      <c r="F10" s="545">
        <v>9.9464220268000005</v>
      </c>
      <c r="G10" s="545">
        <v>2.0372773019000001</v>
      </c>
      <c r="H10" s="545">
        <v>11.983699329</v>
      </c>
    </row>
    <row r="11" spans="1:9" x14ac:dyDescent="0.35">
      <c r="A11" s="49" t="s">
        <v>71</v>
      </c>
      <c r="B11" s="50">
        <v>2</v>
      </c>
      <c r="C11" s="50" t="s">
        <v>2</v>
      </c>
      <c r="D11" s="429">
        <f>Baseline!C6*($I$2)</f>
        <v>151776.07995858003</v>
      </c>
      <c r="E11" s="545">
        <v>0</v>
      </c>
      <c r="F11" s="638">
        <v>0</v>
      </c>
      <c r="G11" s="545">
        <v>0</v>
      </c>
      <c r="H11" s="545">
        <v>0</v>
      </c>
    </row>
    <row r="12" spans="1:9" x14ac:dyDescent="0.35">
      <c r="A12" s="49" t="s">
        <v>71</v>
      </c>
      <c r="B12" s="50">
        <v>2</v>
      </c>
      <c r="C12" s="50" t="s">
        <v>40</v>
      </c>
      <c r="D12" s="429">
        <f>Baseline!C7*($I$2)</f>
        <v>291054.12961754046</v>
      </c>
      <c r="E12" s="545">
        <v>0</v>
      </c>
      <c r="F12" s="638">
        <v>0</v>
      </c>
      <c r="G12" s="545">
        <v>0</v>
      </c>
      <c r="H12" s="545">
        <v>0</v>
      </c>
    </row>
    <row r="13" spans="1:9" x14ac:dyDescent="0.35">
      <c r="A13" s="49" t="s">
        <v>71</v>
      </c>
      <c r="B13" s="50">
        <v>2</v>
      </c>
      <c r="C13" s="50" t="s">
        <v>39</v>
      </c>
      <c r="D13" s="429">
        <f>Baseline!C8*($I$2)</f>
        <v>450129.05927109829</v>
      </c>
      <c r="E13" s="545">
        <v>2.2917554857</v>
      </c>
      <c r="F13" s="545">
        <v>139.18294897620001</v>
      </c>
      <c r="G13" s="545">
        <v>5.7601778464999995</v>
      </c>
      <c r="H13" s="545">
        <v>144.9431268216</v>
      </c>
    </row>
    <row r="14" spans="1:9" x14ac:dyDescent="0.35">
      <c r="A14" s="49" t="s">
        <v>71</v>
      </c>
      <c r="B14" s="50">
        <v>2</v>
      </c>
      <c r="C14" s="50" t="s">
        <v>38</v>
      </c>
      <c r="D14" s="429">
        <f>Baseline!C9*($I$2)</f>
        <v>452828.63381581614</v>
      </c>
      <c r="E14" s="545">
        <v>51.717018747600001</v>
      </c>
      <c r="F14" s="545">
        <v>2444.46353206</v>
      </c>
      <c r="G14" s="545">
        <v>105.89197548300001</v>
      </c>
      <c r="H14" s="545">
        <v>2550.35550762</v>
      </c>
    </row>
    <row r="15" spans="1:9" x14ac:dyDescent="0.35">
      <c r="A15" s="49" t="s">
        <v>71</v>
      </c>
      <c r="B15" s="50">
        <v>2</v>
      </c>
      <c r="C15" s="50" t="s">
        <v>37</v>
      </c>
      <c r="D15" s="429">
        <f>Baseline!C10*($I$2)</f>
        <v>463426.96350989351</v>
      </c>
      <c r="E15" s="545">
        <v>195.33362807500001</v>
      </c>
      <c r="F15" s="545">
        <v>6800.5278484999999</v>
      </c>
      <c r="G15" s="545">
        <v>460.86309617000001</v>
      </c>
      <c r="H15" s="545">
        <v>7261.3909447000005</v>
      </c>
    </row>
    <row r="16" spans="1:9" x14ac:dyDescent="0.35">
      <c r="A16" s="49" t="s">
        <v>71</v>
      </c>
      <c r="B16" s="50">
        <v>2</v>
      </c>
      <c r="C16" s="50" t="s">
        <v>36</v>
      </c>
      <c r="D16" s="429">
        <f>Baseline!C11*($I$2)</f>
        <v>228264.02539225176</v>
      </c>
      <c r="E16" s="545">
        <v>170.36798899499999</v>
      </c>
      <c r="F16" s="545">
        <v>4074.6258914999999</v>
      </c>
      <c r="G16" s="545">
        <v>410.13213820999999</v>
      </c>
      <c r="H16" s="545">
        <v>4484.7580298000003</v>
      </c>
    </row>
    <row r="17" spans="1:8" x14ac:dyDescent="0.35">
      <c r="A17" s="49" t="s">
        <v>71</v>
      </c>
      <c r="B17" s="50">
        <v>2</v>
      </c>
      <c r="C17" s="50" t="s">
        <v>35</v>
      </c>
      <c r="D17" s="429">
        <f>Baseline!C12*($I$2)</f>
        <v>138278.20723499087</v>
      </c>
      <c r="E17" s="545">
        <v>123.353841938</v>
      </c>
      <c r="F17" s="545">
        <v>1893.0765580399998</v>
      </c>
      <c r="G17" s="545">
        <v>276.78915997000001</v>
      </c>
      <c r="H17" s="545">
        <v>2169.8657180099999</v>
      </c>
    </row>
    <row r="18" spans="1:8" x14ac:dyDescent="0.35">
      <c r="A18" s="49" t="s">
        <v>71</v>
      </c>
      <c r="B18" s="50">
        <v>2</v>
      </c>
      <c r="C18" s="50" t="s">
        <v>34</v>
      </c>
      <c r="D18" s="429">
        <f>Baseline!C13*($I$2)</f>
        <v>93885.203610742174</v>
      </c>
      <c r="E18" s="545">
        <v>170.19062389000001</v>
      </c>
      <c r="F18" s="545">
        <v>971.86686288999999</v>
      </c>
      <c r="G18" s="545">
        <v>272.77574700000002</v>
      </c>
      <c r="H18" s="545">
        <v>1244.6426099</v>
      </c>
    </row>
    <row r="19" spans="1:8" x14ac:dyDescent="0.35">
      <c r="A19" s="49" t="s">
        <v>70</v>
      </c>
      <c r="D19" s="430">
        <f t="shared" ref="D19:H19" si="0">SUM(D3:D18)</f>
        <v>4441600</v>
      </c>
      <c r="E19" s="431">
        <f t="shared" si="0"/>
        <v>717.46749182659994</v>
      </c>
      <c r="F19" s="431">
        <f t="shared" si="0"/>
        <v>16398.6321751004</v>
      </c>
      <c r="G19" s="431">
        <f t="shared" si="0"/>
        <v>1540.6716749604002</v>
      </c>
      <c r="H19" s="431">
        <f t="shared" si="0"/>
        <v>17939.303850266704</v>
      </c>
    </row>
    <row r="20" spans="1:8" x14ac:dyDescent="0.35">
      <c r="A20" s="49" t="s">
        <v>69</v>
      </c>
      <c r="B20" s="50">
        <v>1</v>
      </c>
      <c r="C20" s="50" t="s">
        <v>2</v>
      </c>
      <c r="D20" s="429">
        <f>D3</f>
        <v>160174.75631992437</v>
      </c>
      <c r="E20" s="545">
        <v>0</v>
      </c>
      <c r="F20" s="638">
        <v>0</v>
      </c>
      <c r="G20" s="545">
        <v>0</v>
      </c>
      <c r="H20" s="545">
        <v>0</v>
      </c>
    </row>
    <row r="21" spans="1:8" x14ac:dyDescent="0.35">
      <c r="A21" s="49" t="s">
        <v>69</v>
      </c>
      <c r="B21" s="50">
        <v>1</v>
      </c>
      <c r="C21" s="50" t="s">
        <v>40</v>
      </c>
      <c r="D21" s="429">
        <f>D4</f>
        <v>305751.81324989308</v>
      </c>
      <c r="E21" s="545">
        <v>0</v>
      </c>
      <c r="F21" s="638">
        <v>0</v>
      </c>
      <c r="G21" s="545">
        <v>0</v>
      </c>
      <c r="H21" s="545">
        <v>0</v>
      </c>
    </row>
    <row r="22" spans="1:8" x14ac:dyDescent="0.35">
      <c r="A22" s="49" t="s">
        <v>69</v>
      </c>
      <c r="B22" s="50">
        <v>1</v>
      </c>
      <c r="C22" s="50" t="s">
        <v>39</v>
      </c>
      <c r="D22" s="429">
        <f t="shared" ref="D22:D35" si="1">D5</f>
        <v>454628.35017896135</v>
      </c>
      <c r="E22" s="545">
        <v>1.7573848809999999</v>
      </c>
      <c r="F22" s="545">
        <v>108.79691244700001</v>
      </c>
      <c r="G22" s="545">
        <v>2.5174780718000003</v>
      </c>
      <c r="H22" s="545">
        <v>111.314390519</v>
      </c>
    </row>
    <row r="23" spans="1:8" x14ac:dyDescent="0.35">
      <c r="A23" s="49" t="s">
        <v>69</v>
      </c>
      <c r="B23" s="50">
        <v>1</v>
      </c>
      <c r="C23" s="50" t="s">
        <v>38</v>
      </c>
      <c r="D23" s="429">
        <f t="shared" si="1"/>
        <v>411135.20473628526</v>
      </c>
      <c r="E23" s="545">
        <v>11.538243376200001</v>
      </c>
      <c r="F23" s="545">
        <v>546.43398293299992</v>
      </c>
      <c r="G23" s="545">
        <v>19.2189570896</v>
      </c>
      <c r="H23" s="545">
        <v>565.65294002099995</v>
      </c>
    </row>
    <row r="24" spans="1:8" x14ac:dyDescent="0.35">
      <c r="A24" s="49" t="s">
        <v>69</v>
      </c>
      <c r="B24" s="50">
        <v>1</v>
      </c>
      <c r="C24" s="50" t="s">
        <v>37</v>
      </c>
      <c r="D24" s="429">
        <f t="shared" si="1"/>
        <v>433931.61200279137</v>
      </c>
      <c r="E24" s="545">
        <v>92.982354592999997</v>
      </c>
      <c r="F24" s="545">
        <v>3130.9034976299999</v>
      </c>
      <c r="G24" s="545">
        <v>138.91919132499999</v>
      </c>
      <c r="H24" s="545">
        <v>3269.82268892</v>
      </c>
    </row>
    <row r="25" spans="1:8" x14ac:dyDescent="0.35">
      <c r="A25" s="49" t="s">
        <v>69</v>
      </c>
      <c r="B25" s="50">
        <v>1</v>
      </c>
      <c r="C25" s="50" t="s">
        <v>36</v>
      </c>
      <c r="D25" s="429">
        <f t="shared" si="1"/>
        <v>218465.56963735004</v>
      </c>
      <c r="E25" s="545">
        <v>201.09794606299999</v>
      </c>
      <c r="F25" s="545">
        <v>4725.9563527999999</v>
      </c>
      <c r="G25" s="545">
        <v>248.13782723000003</v>
      </c>
      <c r="H25" s="545">
        <v>4974.0941800000001</v>
      </c>
    </row>
    <row r="26" spans="1:8" x14ac:dyDescent="0.35">
      <c r="A26" s="49" t="s">
        <v>69</v>
      </c>
      <c r="B26" s="50">
        <v>1</v>
      </c>
      <c r="C26" s="50" t="s">
        <v>35</v>
      </c>
      <c r="D26" s="429">
        <f t="shared" si="1"/>
        <v>124980.30299619566</v>
      </c>
      <c r="E26" s="545">
        <v>237.27757442000001</v>
      </c>
      <c r="F26" s="545">
        <v>3615.6870024999998</v>
      </c>
      <c r="G26" s="545">
        <v>253.89292617000001</v>
      </c>
      <c r="H26" s="545">
        <v>3869.5799287</v>
      </c>
    </row>
    <row r="27" spans="1:8" x14ac:dyDescent="0.35">
      <c r="A27" s="49" t="s">
        <v>69</v>
      </c>
      <c r="B27" s="50">
        <v>1</v>
      </c>
      <c r="C27" s="50" t="s">
        <v>34</v>
      </c>
      <c r="D27" s="429">
        <f t="shared" si="1"/>
        <v>62890.088467685659</v>
      </c>
      <c r="E27" s="545">
        <v>254.47920200999999</v>
      </c>
      <c r="F27" s="545">
        <v>1661.6992482999999</v>
      </c>
      <c r="G27" s="545">
        <v>184.7406891</v>
      </c>
      <c r="H27" s="545">
        <v>1846.4399374</v>
      </c>
    </row>
    <row r="28" spans="1:8" x14ac:dyDescent="0.35">
      <c r="A28" s="49" t="s">
        <v>69</v>
      </c>
      <c r="B28" s="50">
        <v>2</v>
      </c>
      <c r="C28" s="50" t="s">
        <v>2</v>
      </c>
      <c r="D28" s="429">
        <f t="shared" si="1"/>
        <v>151776.07995858003</v>
      </c>
      <c r="E28" s="545">
        <v>0</v>
      </c>
      <c r="F28" s="638">
        <v>0</v>
      </c>
      <c r="G28" s="545">
        <v>0</v>
      </c>
      <c r="H28" s="545">
        <v>0</v>
      </c>
    </row>
    <row r="29" spans="1:8" x14ac:dyDescent="0.35">
      <c r="A29" s="49" t="s">
        <v>69</v>
      </c>
      <c r="B29" s="50">
        <v>2</v>
      </c>
      <c r="C29" s="50" t="s">
        <v>40</v>
      </c>
      <c r="D29" s="429">
        <f t="shared" si="1"/>
        <v>291054.12961754046</v>
      </c>
      <c r="E29" s="545">
        <v>0</v>
      </c>
      <c r="F29" s="638">
        <v>0</v>
      </c>
      <c r="G29" s="545">
        <v>0</v>
      </c>
      <c r="H29" s="545">
        <v>0</v>
      </c>
    </row>
    <row r="30" spans="1:8" x14ac:dyDescent="0.35">
      <c r="A30" s="49" t="s">
        <v>69</v>
      </c>
      <c r="B30" s="50">
        <v>2</v>
      </c>
      <c r="C30" s="50" t="s">
        <v>39</v>
      </c>
      <c r="D30" s="429">
        <f t="shared" si="1"/>
        <v>450129.05927109829</v>
      </c>
      <c r="E30" s="545">
        <v>1.2681352596</v>
      </c>
      <c r="F30" s="545">
        <v>78.151741926400007</v>
      </c>
      <c r="G30" s="545">
        <v>2.1895003821999999</v>
      </c>
      <c r="H30" s="545">
        <v>80.341242307300007</v>
      </c>
    </row>
    <row r="31" spans="1:8" x14ac:dyDescent="0.35">
      <c r="A31" s="49" t="s">
        <v>69</v>
      </c>
      <c r="B31" s="50">
        <v>2</v>
      </c>
      <c r="C31" s="50" t="s">
        <v>38</v>
      </c>
      <c r="D31" s="429">
        <f t="shared" si="1"/>
        <v>452828.63381581614</v>
      </c>
      <c r="E31" s="545">
        <v>13.425019300199999</v>
      </c>
      <c r="F31" s="545">
        <v>634.98839681100003</v>
      </c>
      <c r="G31" s="545">
        <v>22.479300966099999</v>
      </c>
      <c r="H31" s="545">
        <v>657.46769778700002</v>
      </c>
    </row>
    <row r="32" spans="1:8" x14ac:dyDescent="0.35">
      <c r="A32" s="49" t="s">
        <v>69</v>
      </c>
      <c r="B32" s="50">
        <v>2</v>
      </c>
      <c r="C32" s="50" t="s">
        <v>37</v>
      </c>
      <c r="D32" s="429">
        <f t="shared" si="1"/>
        <v>463426.96350989351</v>
      </c>
      <c r="E32" s="545">
        <v>78.361712221999994</v>
      </c>
      <c r="F32" s="545">
        <v>2656.9017943700001</v>
      </c>
      <c r="G32" s="545">
        <v>116.70936066800002</v>
      </c>
      <c r="H32" s="545">
        <v>2773.6111549999996</v>
      </c>
    </row>
    <row r="33" spans="1:8" x14ac:dyDescent="0.35">
      <c r="A33" s="49" t="s">
        <v>69</v>
      </c>
      <c r="B33" s="50">
        <v>2</v>
      </c>
      <c r="C33" s="50" t="s">
        <v>36</v>
      </c>
      <c r="D33" s="429">
        <f t="shared" si="1"/>
        <v>228264.02539225176</v>
      </c>
      <c r="E33" s="545">
        <v>148.43681009300002</v>
      </c>
      <c r="F33" s="545">
        <v>3493.3770086</v>
      </c>
      <c r="G33" s="545">
        <v>190.21801599700001</v>
      </c>
      <c r="H33" s="545">
        <v>3683.5950247000001</v>
      </c>
    </row>
    <row r="34" spans="1:8" x14ac:dyDescent="0.35">
      <c r="A34" s="49" t="s">
        <v>69</v>
      </c>
      <c r="B34" s="50">
        <v>2</v>
      </c>
      <c r="C34" s="50" t="s">
        <v>35</v>
      </c>
      <c r="D34" s="429">
        <f t="shared" si="1"/>
        <v>138278.20723499087</v>
      </c>
      <c r="E34" s="545">
        <v>180.44552797</v>
      </c>
      <c r="F34" s="545">
        <v>2740.7562705999999</v>
      </c>
      <c r="G34" s="545">
        <v>198.53042833800001</v>
      </c>
      <c r="H34" s="545">
        <v>2939.2866988999999</v>
      </c>
    </row>
    <row r="35" spans="1:8" x14ac:dyDescent="0.35">
      <c r="A35" s="49" t="s">
        <v>69</v>
      </c>
      <c r="B35" s="50">
        <v>2</v>
      </c>
      <c r="C35" s="50" t="s">
        <v>34</v>
      </c>
      <c r="D35" s="429">
        <f t="shared" si="1"/>
        <v>93885.203610742174</v>
      </c>
      <c r="E35" s="545">
        <v>336.0767305</v>
      </c>
      <c r="F35" s="545">
        <v>1919.1529492</v>
      </c>
      <c r="G35" s="545">
        <v>220.64809625999999</v>
      </c>
      <c r="H35" s="545">
        <v>2139.8010454999999</v>
      </c>
    </row>
    <row r="36" spans="1:8" x14ac:dyDescent="0.35">
      <c r="A36" s="49" t="s">
        <v>68</v>
      </c>
      <c r="D36" s="430">
        <f t="shared" ref="D36" si="2">SUM(D20:D35)</f>
        <v>4441600</v>
      </c>
      <c r="E36" s="431">
        <f>SUM(E20:E35)</f>
        <v>1557.1466406879999</v>
      </c>
      <c r="F36" s="431">
        <f>SUM(F20:F35)</f>
        <v>25312.8051581174</v>
      </c>
      <c r="G36" s="431">
        <f>SUM(G20:G35)</f>
        <v>1598.2017715976999</v>
      </c>
      <c r="H36" s="431">
        <f>SUM(H20:H35)</f>
        <v>26911.006929754301</v>
      </c>
    </row>
    <row r="37" spans="1:8" x14ac:dyDescent="0.35">
      <c r="A37" s="432" t="s">
        <v>149</v>
      </c>
      <c r="B37" s="50">
        <v>1</v>
      </c>
      <c r="C37" s="50" t="s">
        <v>2</v>
      </c>
      <c r="D37" s="429">
        <f>D20</f>
        <v>160174.75631992437</v>
      </c>
      <c r="E37" s="545">
        <v>8.5651644999999998E-3</v>
      </c>
      <c r="F37" s="545">
        <v>0.72495370920000002</v>
      </c>
      <c r="G37" s="545">
        <v>0.17464635670000001</v>
      </c>
      <c r="H37" s="545">
        <v>0.89960006599999998</v>
      </c>
    </row>
    <row r="38" spans="1:8" x14ac:dyDescent="0.35">
      <c r="A38" s="432" t="s">
        <v>149</v>
      </c>
      <c r="B38" s="50">
        <v>1</v>
      </c>
      <c r="C38" s="50" t="s">
        <v>40</v>
      </c>
      <c r="D38" s="429">
        <f>D21</f>
        <v>305751.81324989308</v>
      </c>
      <c r="E38" s="545">
        <v>1.5155863700000001E-2</v>
      </c>
      <c r="F38" s="545">
        <v>1.1515151489000002</v>
      </c>
      <c r="G38" s="545">
        <v>0.34288161750000001</v>
      </c>
      <c r="H38" s="545">
        <v>1.4943967663</v>
      </c>
    </row>
    <row r="39" spans="1:8" x14ac:dyDescent="0.35">
      <c r="A39" s="432" t="s">
        <v>149</v>
      </c>
      <c r="B39" s="50">
        <v>1</v>
      </c>
      <c r="C39" s="50" t="s">
        <v>39</v>
      </c>
      <c r="D39" s="429">
        <f t="shared" ref="D39:D52" si="3">D22</f>
        <v>454628.35017896135</v>
      </c>
      <c r="E39" s="545">
        <v>7.1447829799999987E-2</v>
      </c>
      <c r="F39" s="545">
        <v>4.6297565390000006</v>
      </c>
      <c r="G39" s="545">
        <v>0.67756172710000007</v>
      </c>
      <c r="H39" s="545">
        <v>5.3073182661000002</v>
      </c>
    </row>
    <row r="40" spans="1:8" x14ac:dyDescent="0.35">
      <c r="A40" s="432" t="s">
        <v>149</v>
      </c>
      <c r="B40" s="50">
        <v>1</v>
      </c>
      <c r="C40" s="50" t="s">
        <v>38</v>
      </c>
      <c r="D40" s="429">
        <f t="shared" si="3"/>
        <v>411135.20473628526</v>
      </c>
      <c r="E40" s="545">
        <v>1.1647993449</v>
      </c>
      <c r="F40" s="545">
        <v>54.292401914999999</v>
      </c>
      <c r="G40" s="545">
        <v>2.5525631716000001</v>
      </c>
      <c r="H40" s="545">
        <v>56.844965085699997</v>
      </c>
    </row>
    <row r="41" spans="1:8" x14ac:dyDescent="0.35">
      <c r="A41" s="432" t="s">
        <v>149</v>
      </c>
      <c r="B41" s="50">
        <v>1</v>
      </c>
      <c r="C41" s="50" t="s">
        <v>37</v>
      </c>
      <c r="D41" s="429">
        <f t="shared" si="3"/>
        <v>433931.61200279137</v>
      </c>
      <c r="E41" s="545">
        <v>6.8927768782000003</v>
      </c>
      <c r="F41" s="545">
        <v>233.44891880799997</v>
      </c>
      <c r="G41" s="545">
        <v>23.753824717299999</v>
      </c>
      <c r="H41" s="545">
        <v>257.20274352299998</v>
      </c>
    </row>
    <row r="42" spans="1:8" x14ac:dyDescent="0.35">
      <c r="A42" s="432" t="s">
        <v>149</v>
      </c>
      <c r="B42" s="50">
        <v>1</v>
      </c>
      <c r="C42" s="50" t="s">
        <v>36</v>
      </c>
      <c r="D42" s="429">
        <f t="shared" si="3"/>
        <v>218465.56963735004</v>
      </c>
      <c r="E42" s="545">
        <v>10.410781859</v>
      </c>
      <c r="F42" s="545">
        <v>246.35596573999999</v>
      </c>
      <c r="G42" s="545">
        <v>26.543681405000001</v>
      </c>
      <c r="H42" s="545">
        <v>272.89964714999996</v>
      </c>
    </row>
    <row r="43" spans="1:8" x14ac:dyDescent="0.35">
      <c r="A43" s="432" t="s">
        <v>149</v>
      </c>
      <c r="B43" s="50">
        <v>1</v>
      </c>
      <c r="C43" s="50" t="s">
        <v>35</v>
      </c>
      <c r="D43" s="429">
        <f t="shared" si="3"/>
        <v>124980.30299619566</v>
      </c>
      <c r="E43" s="545">
        <v>20.143938377399998</v>
      </c>
      <c r="F43" s="545">
        <v>301.51872834</v>
      </c>
      <c r="G43" s="545">
        <v>23.103764515000002</v>
      </c>
      <c r="H43" s="545">
        <v>324.62249285000001</v>
      </c>
    </row>
    <row r="44" spans="1:8" x14ac:dyDescent="0.35">
      <c r="A44" s="432" t="s">
        <v>149</v>
      </c>
      <c r="B44" s="50">
        <v>1</v>
      </c>
      <c r="C44" s="50" t="s">
        <v>34</v>
      </c>
      <c r="D44" s="429">
        <f t="shared" si="3"/>
        <v>62890.088467685659</v>
      </c>
      <c r="E44" s="545">
        <v>70.556916408999996</v>
      </c>
      <c r="F44" s="545">
        <v>460.72281756000001</v>
      </c>
      <c r="G44" s="545">
        <v>18.648244106</v>
      </c>
      <c r="H44" s="545">
        <v>479.37106166000001</v>
      </c>
    </row>
    <row r="45" spans="1:8" x14ac:dyDescent="0.35">
      <c r="A45" s="432" t="s">
        <v>149</v>
      </c>
      <c r="B45" s="50">
        <v>2</v>
      </c>
      <c r="C45" s="50" t="s">
        <v>2</v>
      </c>
      <c r="D45" s="429">
        <f t="shared" si="3"/>
        <v>151776.07995858003</v>
      </c>
      <c r="E45" s="545">
        <v>1.1525610800000001E-2</v>
      </c>
      <c r="F45" s="545">
        <v>0.97606017759999997</v>
      </c>
      <c r="G45" s="545">
        <v>0.48941579860000001</v>
      </c>
      <c r="H45" s="545">
        <v>1.4654759762</v>
      </c>
    </row>
    <row r="46" spans="1:8" x14ac:dyDescent="0.35">
      <c r="A46" s="432" t="s">
        <v>149</v>
      </c>
      <c r="B46" s="50">
        <v>2</v>
      </c>
      <c r="C46" s="50" t="s">
        <v>40</v>
      </c>
      <c r="D46" s="429">
        <f t="shared" si="3"/>
        <v>291054.12961754046</v>
      </c>
      <c r="E46" s="545">
        <v>1.89233184E-2</v>
      </c>
      <c r="F46" s="545">
        <v>1.4458440457999999</v>
      </c>
      <c r="G46" s="545">
        <v>0.56921899259999997</v>
      </c>
      <c r="H46" s="545">
        <v>2.0150630384000001</v>
      </c>
    </row>
    <row r="47" spans="1:8" x14ac:dyDescent="0.35">
      <c r="A47" s="432" t="s">
        <v>149</v>
      </c>
      <c r="B47" s="50">
        <v>2</v>
      </c>
      <c r="C47" s="50" t="s">
        <v>39</v>
      </c>
      <c r="D47" s="429">
        <f t="shared" si="3"/>
        <v>450129.05927109829</v>
      </c>
      <c r="E47" s="545">
        <v>5.1821483400000007E-2</v>
      </c>
      <c r="F47" s="545">
        <v>3.2650015298000001</v>
      </c>
      <c r="G47" s="545">
        <v>1.1032948961</v>
      </c>
      <c r="H47" s="545">
        <v>4.3682964260000006</v>
      </c>
    </row>
    <row r="48" spans="1:8" x14ac:dyDescent="0.35">
      <c r="A48" s="432" t="s">
        <v>149</v>
      </c>
      <c r="B48" s="50">
        <v>2</v>
      </c>
      <c r="C48" s="50" t="s">
        <v>38</v>
      </c>
      <c r="D48" s="429">
        <f t="shared" si="3"/>
        <v>452828.63381581614</v>
      </c>
      <c r="E48" s="545">
        <v>0.80258737580000006</v>
      </c>
      <c r="F48" s="545">
        <v>37.488322783699999</v>
      </c>
      <c r="G48" s="545">
        <v>3.1299384466999998</v>
      </c>
      <c r="H48" s="545">
        <v>40.618261230499996</v>
      </c>
    </row>
    <row r="49" spans="1:10" x14ac:dyDescent="0.35">
      <c r="A49" s="432" t="s">
        <v>149</v>
      </c>
      <c r="B49" s="50">
        <v>2</v>
      </c>
      <c r="C49" s="50" t="s">
        <v>37</v>
      </c>
      <c r="D49" s="429">
        <f t="shared" si="3"/>
        <v>463426.96350989351</v>
      </c>
      <c r="E49" s="545">
        <v>4.6584115879999999</v>
      </c>
      <c r="F49" s="545">
        <v>157.36783789099999</v>
      </c>
      <c r="G49" s="545">
        <v>11.606674973400001</v>
      </c>
      <c r="H49" s="545">
        <v>168.97451286400002</v>
      </c>
    </row>
    <row r="50" spans="1:10" x14ac:dyDescent="0.35">
      <c r="A50" s="432" t="s">
        <v>149</v>
      </c>
      <c r="B50" s="50">
        <v>2</v>
      </c>
      <c r="C50" s="50" t="s">
        <v>36</v>
      </c>
      <c r="D50" s="429">
        <f t="shared" si="3"/>
        <v>228264.02539225176</v>
      </c>
      <c r="E50" s="545">
        <v>9.8909252181999996</v>
      </c>
      <c r="F50" s="545">
        <v>232.65055133999999</v>
      </c>
      <c r="G50" s="545">
        <v>17.1924203369</v>
      </c>
      <c r="H50" s="545">
        <v>249.84297168000001</v>
      </c>
    </row>
    <row r="51" spans="1:10" x14ac:dyDescent="0.35">
      <c r="A51" s="432" t="s">
        <v>149</v>
      </c>
      <c r="B51" s="50">
        <v>2</v>
      </c>
      <c r="C51" s="50" t="s">
        <v>35</v>
      </c>
      <c r="D51" s="429">
        <f t="shared" si="3"/>
        <v>138278.20723499087</v>
      </c>
      <c r="E51" s="545">
        <v>20.324725296499999</v>
      </c>
      <c r="F51" s="545">
        <v>299.80898072000002</v>
      </c>
      <c r="G51" s="545">
        <v>22.343832926000001</v>
      </c>
      <c r="H51" s="545">
        <v>322.15281363999998</v>
      </c>
    </row>
    <row r="52" spans="1:10" x14ac:dyDescent="0.35">
      <c r="A52" s="432" t="s">
        <v>149</v>
      </c>
      <c r="B52" s="50">
        <v>2</v>
      </c>
      <c r="C52" s="50" t="s">
        <v>34</v>
      </c>
      <c r="D52" s="429">
        <f t="shared" si="3"/>
        <v>93885.203610742174</v>
      </c>
      <c r="E52" s="545">
        <v>174.91349270000001</v>
      </c>
      <c r="F52" s="545">
        <v>998.83661945999995</v>
      </c>
      <c r="G52" s="545">
        <v>24.267760247999998</v>
      </c>
      <c r="H52" s="545">
        <v>1023.1043797</v>
      </c>
    </row>
    <row r="53" spans="1:10" x14ac:dyDescent="0.35">
      <c r="A53" s="432" t="s">
        <v>70</v>
      </c>
      <c r="D53" s="430">
        <f>SUM(D37:D52)</f>
        <v>4441600</v>
      </c>
      <c r="E53" s="431">
        <f t="shared" ref="E53:H53" si="4">SUM(E37:E52)</f>
        <v>319.9367943176</v>
      </c>
      <c r="F53" s="431">
        <f t="shared" si="4"/>
        <v>3034.6842757079994</v>
      </c>
      <c r="G53" s="431">
        <f t="shared" si="4"/>
        <v>176.49972423450001</v>
      </c>
      <c r="H53" s="431">
        <f t="shared" si="4"/>
        <v>3211.1839999222002</v>
      </c>
    </row>
    <row r="54" spans="1:10" x14ac:dyDescent="0.35">
      <c r="A54" s="432" t="s">
        <v>148</v>
      </c>
      <c r="B54" s="50">
        <v>1</v>
      </c>
      <c r="C54" s="50" t="s">
        <v>2</v>
      </c>
      <c r="D54" s="429">
        <f>D37</f>
        <v>160174.75631992437</v>
      </c>
      <c r="E54" s="545">
        <v>7.06002924E-2</v>
      </c>
      <c r="F54" s="545">
        <v>6.0181722262999999</v>
      </c>
      <c r="G54" s="545">
        <v>0.1730166618</v>
      </c>
      <c r="H54" s="545">
        <v>6.1911888881000001</v>
      </c>
      <c r="J54" s="433"/>
    </row>
    <row r="55" spans="1:10" x14ac:dyDescent="0.35">
      <c r="A55" s="432" t="s">
        <v>148</v>
      </c>
      <c r="B55" s="50">
        <v>1</v>
      </c>
      <c r="C55" s="50" t="s">
        <v>40</v>
      </c>
      <c r="D55" s="429">
        <f>D38</f>
        <v>305751.81324989308</v>
      </c>
      <c r="E55" s="545">
        <v>7.4637239300000005E-2</v>
      </c>
      <c r="F55" s="545">
        <v>5.5311057547000004</v>
      </c>
      <c r="G55" s="545">
        <v>0.32316021220000002</v>
      </c>
      <c r="H55" s="545">
        <v>5.8542659668999999</v>
      </c>
      <c r="J55" s="433"/>
    </row>
    <row r="56" spans="1:10" x14ac:dyDescent="0.35">
      <c r="A56" s="432" t="s">
        <v>148</v>
      </c>
      <c r="B56" s="50">
        <v>1</v>
      </c>
      <c r="C56" s="50" t="s">
        <v>39</v>
      </c>
      <c r="D56" s="429">
        <f t="shared" ref="D56:D69" si="5">D39</f>
        <v>454628.35017896135</v>
      </c>
      <c r="E56" s="545">
        <v>3.6353626330999997</v>
      </c>
      <c r="F56" s="545">
        <v>224.80101044899999</v>
      </c>
      <c r="G56" s="545">
        <v>1.0604489400999999</v>
      </c>
      <c r="H56" s="545">
        <v>225.86145939200003</v>
      </c>
      <c r="J56" s="433"/>
    </row>
    <row r="57" spans="1:10" x14ac:dyDescent="0.35">
      <c r="A57" s="432" t="s">
        <v>148</v>
      </c>
      <c r="B57" s="50">
        <v>1</v>
      </c>
      <c r="C57" s="50" t="s">
        <v>38</v>
      </c>
      <c r="D57" s="429">
        <f t="shared" si="5"/>
        <v>411135.20473628526</v>
      </c>
      <c r="E57" s="545">
        <v>59.790035756499996</v>
      </c>
      <c r="F57" s="545">
        <v>2803.1347992999999</v>
      </c>
      <c r="G57" s="545">
        <v>13.448205298</v>
      </c>
      <c r="H57" s="545">
        <v>2816.5830045299999</v>
      </c>
      <c r="J57" s="433"/>
    </row>
    <row r="58" spans="1:10" x14ac:dyDescent="0.35">
      <c r="A58" s="432" t="s">
        <v>148</v>
      </c>
      <c r="B58" s="50">
        <v>1</v>
      </c>
      <c r="C58" s="50" t="s">
        <v>37</v>
      </c>
      <c r="D58" s="429">
        <f t="shared" si="5"/>
        <v>433931.61200279137</v>
      </c>
      <c r="E58" s="545">
        <v>364.738256476</v>
      </c>
      <c r="F58" s="545">
        <v>12428.103498100001</v>
      </c>
      <c r="G58" s="545">
        <v>400.97752879799998</v>
      </c>
      <c r="H58" s="545">
        <v>12829.081026899999</v>
      </c>
      <c r="J58" s="433"/>
    </row>
    <row r="59" spans="1:10" x14ac:dyDescent="0.35">
      <c r="A59" s="432" t="s">
        <v>148</v>
      </c>
      <c r="B59" s="50">
        <v>1</v>
      </c>
      <c r="C59" s="50" t="s">
        <v>36</v>
      </c>
      <c r="D59" s="429">
        <f t="shared" si="5"/>
        <v>218465.56963735004</v>
      </c>
      <c r="E59" s="545">
        <v>592.16406473000006</v>
      </c>
      <c r="F59" s="545">
        <v>13934.3136295</v>
      </c>
      <c r="G59" s="545">
        <v>828.09015019999993</v>
      </c>
      <c r="H59" s="545">
        <v>14762.403779600001</v>
      </c>
      <c r="J59" s="433"/>
    </row>
    <row r="60" spans="1:10" x14ac:dyDescent="0.35">
      <c r="A60" s="432" t="s">
        <v>148</v>
      </c>
      <c r="B60" s="50">
        <v>1</v>
      </c>
      <c r="C60" s="50" t="s">
        <v>35</v>
      </c>
      <c r="D60" s="429">
        <f t="shared" si="5"/>
        <v>124980.30299619566</v>
      </c>
      <c r="E60" s="545">
        <v>846.85965170000009</v>
      </c>
      <c r="F60" s="545">
        <v>12735.900594800001</v>
      </c>
      <c r="G60" s="545">
        <v>701.41160312</v>
      </c>
      <c r="H60" s="545">
        <v>13437.312197899999</v>
      </c>
      <c r="J60" s="433"/>
    </row>
    <row r="61" spans="1:10" x14ac:dyDescent="0.35">
      <c r="A61" s="432" t="s">
        <v>148</v>
      </c>
      <c r="B61" s="50">
        <v>1</v>
      </c>
      <c r="C61" s="50" t="s">
        <v>34</v>
      </c>
      <c r="D61" s="429">
        <f t="shared" si="5"/>
        <v>62890.088467685659</v>
      </c>
      <c r="E61" s="545">
        <v>1854.0652952</v>
      </c>
      <c r="F61" s="545">
        <v>12106.682521999999</v>
      </c>
      <c r="G61" s="545">
        <v>484.70204787</v>
      </c>
      <c r="H61" s="545">
        <v>12591.38457</v>
      </c>
      <c r="J61" s="433"/>
    </row>
    <row r="62" spans="1:10" x14ac:dyDescent="0.35">
      <c r="A62" s="432" t="s">
        <v>148</v>
      </c>
      <c r="B62" s="50">
        <v>2</v>
      </c>
      <c r="C62" s="50" t="s">
        <v>2</v>
      </c>
      <c r="D62" s="429">
        <f t="shared" si="5"/>
        <v>151776.07995858003</v>
      </c>
      <c r="E62" s="545">
        <v>6.0064121800000002E-2</v>
      </c>
      <c r="F62" s="545">
        <v>5.1626844196999997</v>
      </c>
      <c r="G62" s="545">
        <v>0.12666711189999999</v>
      </c>
      <c r="H62" s="545">
        <v>5.2893515316000004</v>
      </c>
      <c r="J62" s="433"/>
    </row>
    <row r="63" spans="1:10" x14ac:dyDescent="0.35">
      <c r="A63" s="432" t="s">
        <v>148</v>
      </c>
      <c r="B63" s="50">
        <v>2</v>
      </c>
      <c r="C63" s="50" t="s">
        <v>40</v>
      </c>
      <c r="D63" s="429">
        <f t="shared" si="5"/>
        <v>291054.12961754046</v>
      </c>
      <c r="E63" s="545">
        <v>9.7785114200000009E-2</v>
      </c>
      <c r="F63" s="545">
        <v>7.2755918992000002</v>
      </c>
      <c r="G63" s="545">
        <v>0.33160735530000002</v>
      </c>
      <c r="H63" s="545">
        <v>7.6071992545000002</v>
      </c>
      <c r="J63" s="433"/>
    </row>
    <row r="64" spans="1:10" x14ac:dyDescent="0.35">
      <c r="A64" s="432" t="s">
        <v>148</v>
      </c>
      <c r="B64" s="50">
        <v>2</v>
      </c>
      <c r="C64" s="50" t="s">
        <v>39</v>
      </c>
      <c r="D64" s="429">
        <f t="shared" si="5"/>
        <v>450129.05927109829</v>
      </c>
      <c r="E64" s="545">
        <v>1.4068849109000001</v>
      </c>
      <c r="F64" s="545">
        <v>87.635050342</v>
      </c>
      <c r="G64" s="545">
        <v>1.0069404187</v>
      </c>
      <c r="H64" s="545">
        <v>88.641990762000006</v>
      </c>
      <c r="J64" s="433"/>
    </row>
    <row r="65" spans="1:10" x14ac:dyDescent="0.35">
      <c r="A65" s="432" t="s">
        <v>148</v>
      </c>
      <c r="B65" s="50">
        <v>2</v>
      </c>
      <c r="C65" s="50" t="s">
        <v>38</v>
      </c>
      <c r="D65" s="429">
        <f t="shared" si="5"/>
        <v>452828.63381581614</v>
      </c>
      <c r="E65" s="545">
        <v>14.6103740231</v>
      </c>
      <c r="F65" s="545">
        <v>685.52159786900006</v>
      </c>
      <c r="G65" s="545">
        <v>9.3834563756999998</v>
      </c>
      <c r="H65" s="545">
        <v>694.90505424899993</v>
      </c>
      <c r="J65" s="433"/>
    </row>
    <row r="66" spans="1:10" x14ac:dyDescent="0.35">
      <c r="A66" s="432" t="s">
        <v>148</v>
      </c>
      <c r="B66" s="50">
        <v>2</v>
      </c>
      <c r="C66" s="50" t="s">
        <v>37</v>
      </c>
      <c r="D66" s="429">
        <f t="shared" si="5"/>
        <v>463426.96350989351</v>
      </c>
      <c r="E66" s="545">
        <v>93.7046505</v>
      </c>
      <c r="F66" s="545">
        <v>3179.9249423199999</v>
      </c>
      <c r="G66" s="545">
        <v>257.140713275</v>
      </c>
      <c r="H66" s="545">
        <v>3437.0656556499998</v>
      </c>
      <c r="J66" s="433"/>
    </row>
    <row r="67" spans="1:10" x14ac:dyDescent="0.35">
      <c r="A67" s="432" t="s">
        <v>148</v>
      </c>
      <c r="B67" s="50">
        <v>2</v>
      </c>
      <c r="C67" s="50" t="s">
        <v>36</v>
      </c>
      <c r="D67" s="429">
        <f t="shared" si="5"/>
        <v>228264.02539225176</v>
      </c>
      <c r="E67" s="545">
        <v>220.49400633900001</v>
      </c>
      <c r="F67" s="545">
        <v>5150.4260205</v>
      </c>
      <c r="G67" s="545">
        <v>476.42371485000001</v>
      </c>
      <c r="H67" s="545">
        <v>5626.8497351999995</v>
      </c>
      <c r="J67" s="433"/>
    </row>
    <row r="68" spans="1:10" x14ac:dyDescent="0.35">
      <c r="A68" s="432" t="s">
        <v>148</v>
      </c>
      <c r="B68" s="50">
        <v>2</v>
      </c>
      <c r="C68" s="50" t="s">
        <v>35</v>
      </c>
      <c r="D68" s="429">
        <f t="shared" si="5"/>
        <v>138278.20723499087</v>
      </c>
      <c r="E68" s="545">
        <v>493.75223774999995</v>
      </c>
      <c r="F68" s="545">
        <v>7309.5438199999999</v>
      </c>
      <c r="G68" s="545">
        <v>470.43364889999998</v>
      </c>
      <c r="H68" s="545">
        <v>7779.9774688999996</v>
      </c>
      <c r="J68" s="433"/>
    </row>
    <row r="69" spans="1:10" x14ac:dyDescent="0.35">
      <c r="A69" s="432" t="s">
        <v>148</v>
      </c>
      <c r="B69" s="50">
        <v>2</v>
      </c>
      <c r="C69" s="50" t="s">
        <v>34</v>
      </c>
      <c r="D69" s="429">
        <f t="shared" si="5"/>
        <v>93885.203610742174</v>
      </c>
      <c r="E69" s="545">
        <v>2193.9577250000002</v>
      </c>
      <c r="F69" s="545">
        <v>12528.509285</v>
      </c>
      <c r="G69" s="545">
        <v>585.40407191999998</v>
      </c>
      <c r="H69" s="545">
        <v>13113.913356999999</v>
      </c>
      <c r="J69" s="433"/>
    </row>
    <row r="70" spans="1:10" x14ac:dyDescent="0.35">
      <c r="A70" s="432" t="s">
        <v>70</v>
      </c>
      <c r="D70" s="430">
        <f>SUM(D54:D69)</f>
        <v>4441600</v>
      </c>
      <c r="E70" s="431">
        <f t="shared" ref="E70:H70" si="6">SUM(E54:E69)</f>
        <v>6739.4816317863006</v>
      </c>
      <c r="F70" s="431">
        <f t="shared" si="6"/>
        <v>83198.484324479912</v>
      </c>
      <c r="G70" s="431">
        <f t="shared" si="6"/>
        <v>4230.4369813067005</v>
      </c>
      <c r="H70" s="431">
        <f t="shared" si="6"/>
        <v>87428.9213057241</v>
      </c>
    </row>
    <row r="71" spans="1:10" x14ac:dyDescent="0.35">
      <c r="A71" s="432" t="s">
        <v>146</v>
      </c>
      <c r="B71" s="50">
        <v>1</v>
      </c>
      <c r="C71" s="50" t="s">
        <v>2</v>
      </c>
      <c r="D71" s="429">
        <f>D54</f>
        <v>160174.75631992437</v>
      </c>
      <c r="E71" s="545">
        <v>0.1666253848</v>
      </c>
      <c r="F71" s="545">
        <v>14.26596514</v>
      </c>
      <c r="G71" s="545">
        <v>0.45702575369999998</v>
      </c>
      <c r="H71" s="545">
        <v>14.722990893</v>
      </c>
      <c r="J71" s="433"/>
    </row>
    <row r="72" spans="1:10" x14ac:dyDescent="0.35">
      <c r="A72" s="432" t="s">
        <v>146</v>
      </c>
      <c r="B72" s="50">
        <v>1</v>
      </c>
      <c r="C72" s="50" t="s">
        <v>40</v>
      </c>
      <c r="D72" s="429">
        <f>D55</f>
        <v>305751.81324989308</v>
      </c>
      <c r="E72" s="545">
        <v>0.17876403790000001</v>
      </c>
      <c r="F72" s="545">
        <v>13.3426457191</v>
      </c>
      <c r="G72" s="545">
        <v>4.6765694469000003</v>
      </c>
      <c r="H72" s="545">
        <v>18.019215166199999</v>
      </c>
      <c r="J72" s="433"/>
    </row>
    <row r="73" spans="1:10" x14ac:dyDescent="0.35">
      <c r="A73" s="432" t="s">
        <v>146</v>
      </c>
      <c r="B73" s="50">
        <v>1</v>
      </c>
      <c r="C73" s="50" t="s">
        <v>39</v>
      </c>
      <c r="D73" s="429">
        <f t="shared" ref="D73:D86" si="7">D56</f>
        <v>454628.35017896135</v>
      </c>
      <c r="E73" s="545">
        <v>1.9170460226000001</v>
      </c>
      <c r="F73" s="545">
        <v>120.060301635</v>
      </c>
      <c r="G73" s="545">
        <v>30.003093991699998</v>
      </c>
      <c r="H73" s="545">
        <v>150.063395625</v>
      </c>
      <c r="J73" s="433"/>
    </row>
    <row r="74" spans="1:10" x14ac:dyDescent="0.35">
      <c r="A74" s="432" t="s">
        <v>146</v>
      </c>
      <c r="B74" s="50">
        <v>1</v>
      </c>
      <c r="C74" s="50" t="s">
        <v>38</v>
      </c>
      <c r="D74" s="429">
        <f t="shared" si="7"/>
        <v>411135.20473628526</v>
      </c>
      <c r="E74" s="545">
        <v>10.823597798600002</v>
      </c>
      <c r="F74" s="545">
        <v>514.65496217999998</v>
      </c>
      <c r="G74" s="545">
        <v>96.339006492999999</v>
      </c>
      <c r="H74" s="545">
        <v>610.99396868000008</v>
      </c>
      <c r="J74" s="433"/>
    </row>
    <row r="75" spans="1:10" x14ac:dyDescent="0.35">
      <c r="A75" s="432" t="s">
        <v>146</v>
      </c>
      <c r="B75" s="50">
        <v>1</v>
      </c>
      <c r="C75" s="50" t="s">
        <v>37</v>
      </c>
      <c r="D75" s="429">
        <f t="shared" si="7"/>
        <v>433931.61200279137</v>
      </c>
      <c r="E75" s="545">
        <v>51.798557963999997</v>
      </c>
      <c r="F75" s="545">
        <v>1761.2055915000001</v>
      </c>
      <c r="G75" s="545">
        <v>341.68385695299997</v>
      </c>
      <c r="H75" s="545">
        <v>2102.88944846</v>
      </c>
      <c r="J75" s="433"/>
    </row>
    <row r="76" spans="1:10" x14ac:dyDescent="0.35">
      <c r="A76" s="432" t="s">
        <v>146</v>
      </c>
      <c r="B76" s="50">
        <v>1</v>
      </c>
      <c r="C76" s="50" t="s">
        <v>36</v>
      </c>
      <c r="D76" s="429">
        <f t="shared" si="7"/>
        <v>218465.56963735004</v>
      </c>
      <c r="E76" s="545">
        <v>113.31784661500001</v>
      </c>
      <c r="F76" s="545">
        <v>2643.2432656000001</v>
      </c>
      <c r="G76" s="545">
        <v>454.46894746999999</v>
      </c>
      <c r="H76" s="545">
        <v>3097.7122131000001</v>
      </c>
      <c r="J76" s="433"/>
    </row>
    <row r="77" spans="1:10" x14ac:dyDescent="0.35">
      <c r="A77" s="432" t="s">
        <v>146</v>
      </c>
      <c r="B77" s="50">
        <v>1</v>
      </c>
      <c r="C77" s="50" t="s">
        <v>35</v>
      </c>
      <c r="D77" s="429">
        <f t="shared" si="7"/>
        <v>124980.30299619566</v>
      </c>
      <c r="E77" s="545">
        <v>252.72113752000001</v>
      </c>
      <c r="F77" s="545">
        <v>3761.3625253</v>
      </c>
      <c r="G77" s="545">
        <v>418.18300909999999</v>
      </c>
      <c r="H77" s="545">
        <v>4179.5455344000002</v>
      </c>
      <c r="J77" s="433"/>
    </row>
    <row r="78" spans="1:10" x14ac:dyDescent="0.35">
      <c r="A78" s="432" t="s">
        <v>146</v>
      </c>
      <c r="B78" s="50">
        <v>1</v>
      </c>
      <c r="C78" s="50" t="s">
        <v>34</v>
      </c>
      <c r="D78" s="429">
        <f t="shared" si="7"/>
        <v>62890.088467685659</v>
      </c>
      <c r="E78" s="545">
        <v>700.94300439000006</v>
      </c>
      <c r="F78" s="545">
        <v>4577.0202607000001</v>
      </c>
      <c r="G78" s="545">
        <v>299.83592413000002</v>
      </c>
      <c r="H78" s="545">
        <v>4876.8561847999999</v>
      </c>
      <c r="J78" s="433"/>
    </row>
    <row r="79" spans="1:10" x14ac:dyDescent="0.35">
      <c r="A79" s="432" t="s">
        <v>146</v>
      </c>
      <c r="B79" s="50">
        <v>2</v>
      </c>
      <c r="C79" s="50" t="s">
        <v>2</v>
      </c>
      <c r="D79" s="429">
        <f t="shared" si="7"/>
        <v>151776.07995858003</v>
      </c>
      <c r="E79" s="545">
        <v>0.20148132390000001</v>
      </c>
      <c r="F79" s="545">
        <v>17.248727255999999</v>
      </c>
      <c r="G79" s="545">
        <v>0.28693118080000002</v>
      </c>
      <c r="H79" s="545">
        <v>17.535658436999999</v>
      </c>
      <c r="J79" s="433"/>
    </row>
    <row r="80" spans="1:10" x14ac:dyDescent="0.35">
      <c r="A80" s="432" t="s">
        <v>146</v>
      </c>
      <c r="B80" s="50">
        <v>2</v>
      </c>
      <c r="C80" s="50" t="s">
        <v>40</v>
      </c>
      <c r="D80" s="429">
        <f t="shared" si="7"/>
        <v>291054.12961754046</v>
      </c>
      <c r="E80" s="545">
        <v>0.16920607839999999</v>
      </c>
      <c r="F80" s="545">
        <v>12.794709514100001</v>
      </c>
      <c r="G80" s="545">
        <v>3.1597562962000003</v>
      </c>
      <c r="H80" s="545">
        <v>15.9544658108</v>
      </c>
      <c r="J80" s="433"/>
    </row>
    <row r="81" spans="1:10" x14ac:dyDescent="0.35">
      <c r="A81" s="432" t="s">
        <v>146</v>
      </c>
      <c r="B81" s="50">
        <v>2</v>
      </c>
      <c r="C81" s="50" t="s">
        <v>39</v>
      </c>
      <c r="D81" s="429">
        <f t="shared" si="7"/>
        <v>450129.05927109829</v>
      </c>
      <c r="E81" s="545">
        <v>1.9232775894</v>
      </c>
      <c r="F81" s="545">
        <v>121.31352232</v>
      </c>
      <c r="G81" s="545">
        <v>21.879895723499999</v>
      </c>
      <c r="H81" s="545">
        <v>143.193418044</v>
      </c>
      <c r="J81" s="433"/>
    </row>
    <row r="82" spans="1:10" x14ac:dyDescent="0.35">
      <c r="A82" s="432" t="s">
        <v>146</v>
      </c>
      <c r="B82" s="50">
        <v>2</v>
      </c>
      <c r="C82" s="50" t="s">
        <v>38</v>
      </c>
      <c r="D82" s="429">
        <f t="shared" si="7"/>
        <v>452828.63381581614</v>
      </c>
      <c r="E82" s="545">
        <v>14.366342390900002</v>
      </c>
      <c r="F82" s="545">
        <v>681.3922818399999</v>
      </c>
      <c r="G82" s="545">
        <v>82.631910601000001</v>
      </c>
      <c r="H82" s="545">
        <v>764.02419243999998</v>
      </c>
      <c r="J82" s="433"/>
    </row>
    <row r="83" spans="1:10" x14ac:dyDescent="0.35">
      <c r="A83" s="432" t="s">
        <v>146</v>
      </c>
      <c r="B83" s="50">
        <v>2</v>
      </c>
      <c r="C83" s="50" t="s">
        <v>37</v>
      </c>
      <c r="D83" s="429">
        <f t="shared" si="7"/>
        <v>463426.96350989351</v>
      </c>
      <c r="E83" s="545">
        <v>55.527945721000002</v>
      </c>
      <c r="F83" s="545">
        <v>1915.28293734</v>
      </c>
      <c r="G83" s="545">
        <v>253.45938737200001</v>
      </c>
      <c r="H83" s="545">
        <v>2168.74232471</v>
      </c>
      <c r="J83" s="433"/>
    </row>
    <row r="84" spans="1:10" x14ac:dyDescent="0.35">
      <c r="A84" s="432" t="s">
        <v>146</v>
      </c>
      <c r="B84" s="50">
        <v>2</v>
      </c>
      <c r="C84" s="50" t="s">
        <v>36</v>
      </c>
      <c r="D84" s="429">
        <f t="shared" si="7"/>
        <v>228264.02539225176</v>
      </c>
      <c r="E84" s="545">
        <v>96.178357207000005</v>
      </c>
      <c r="F84" s="545">
        <v>2243.0269073999998</v>
      </c>
      <c r="G84" s="545">
        <v>309.15203093000002</v>
      </c>
      <c r="H84" s="545">
        <v>2552.1789383999999</v>
      </c>
      <c r="J84" s="433"/>
    </row>
    <row r="85" spans="1:10" x14ac:dyDescent="0.35">
      <c r="A85" s="432" t="s">
        <v>146</v>
      </c>
      <c r="B85" s="50">
        <v>2</v>
      </c>
      <c r="C85" s="50" t="s">
        <v>35</v>
      </c>
      <c r="D85" s="429">
        <f t="shared" si="7"/>
        <v>138278.20723499087</v>
      </c>
      <c r="E85" s="545">
        <v>255.519458262</v>
      </c>
      <c r="F85" s="545">
        <v>3758.0087678999998</v>
      </c>
      <c r="G85" s="545">
        <v>308.48629303000001</v>
      </c>
      <c r="H85" s="545">
        <v>4066.4950608999998</v>
      </c>
      <c r="J85" s="433"/>
    </row>
    <row r="86" spans="1:10" x14ac:dyDescent="0.35">
      <c r="A86" s="432" t="s">
        <v>146</v>
      </c>
      <c r="B86" s="50">
        <v>2</v>
      </c>
      <c r="C86" s="50" t="s">
        <v>34</v>
      </c>
      <c r="D86" s="429">
        <f t="shared" si="7"/>
        <v>93885.203610742174</v>
      </c>
      <c r="E86" s="545">
        <v>1344.5176836000001</v>
      </c>
      <c r="F86" s="545">
        <v>7677.8153426999997</v>
      </c>
      <c r="G86" s="545">
        <v>276.83480121999997</v>
      </c>
      <c r="H86" s="545">
        <v>7954.6501439000003</v>
      </c>
      <c r="J86" s="433"/>
    </row>
    <row r="87" spans="1:10" x14ac:dyDescent="0.35">
      <c r="A87" s="432" t="s">
        <v>70</v>
      </c>
      <c r="D87" s="430">
        <f>SUM(D71:D86)</f>
        <v>4441600</v>
      </c>
      <c r="E87" s="431">
        <f t="shared" ref="E87:H87" si="8">SUM(E71:E86)</f>
        <v>2900.2703319054999</v>
      </c>
      <c r="F87" s="431">
        <f t="shared" si="8"/>
        <v>29832.0387140442</v>
      </c>
      <c r="G87" s="431">
        <f t="shared" si="8"/>
        <v>2901.5384396917998</v>
      </c>
      <c r="H87" s="431">
        <f t="shared" si="8"/>
        <v>32733.577153766004</v>
      </c>
    </row>
    <row r="88" spans="1:10" x14ac:dyDescent="0.35">
      <c r="A88" s="49" t="s">
        <v>31</v>
      </c>
      <c r="B88" s="50">
        <v>1</v>
      </c>
      <c r="C88" s="50" t="s">
        <v>2</v>
      </c>
      <c r="D88" s="429">
        <f>D71</f>
        <v>160174.75631992437</v>
      </c>
      <c r="E88" s="545">
        <v>0</v>
      </c>
      <c r="F88" s="545">
        <v>0</v>
      </c>
      <c r="G88" s="545">
        <v>0</v>
      </c>
      <c r="H88" s="545">
        <v>0</v>
      </c>
    </row>
    <row r="89" spans="1:10" x14ac:dyDescent="0.35">
      <c r="A89" s="49" t="s">
        <v>31</v>
      </c>
      <c r="B89" s="50">
        <v>1</v>
      </c>
      <c r="C89" s="50" t="s">
        <v>40</v>
      </c>
      <c r="D89" s="429">
        <f>D72</f>
        <v>305751.81324989308</v>
      </c>
      <c r="E89" s="545">
        <v>0</v>
      </c>
      <c r="F89" s="545">
        <v>0</v>
      </c>
      <c r="G89" s="545">
        <v>0</v>
      </c>
      <c r="H89" s="545">
        <v>0</v>
      </c>
    </row>
    <row r="90" spans="1:10" x14ac:dyDescent="0.35">
      <c r="A90" s="49" t="s">
        <v>31</v>
      </c>
      <c r="B90" s="50">
        <v>1</v>
      </c>
      <c r="C90" s="50" t="s">
        <v>39</v>
      </c>
      <c r="D90" s="429">
        <f t="shared" ref="D90:D103" si="9">D73</f>
        <v>454628.35017896135</v>
      </c>
      <c r="E90" s="545">
        <v>0</v>
      </c>
      <c r="F90" s="545">
        <v>0</v>
      </c>
      <c r="G90" s="545">
        <v>0</v>
      </c>
      <c r="H90" s="545">
        <v>0</v>
      </c>
    </row>
    <row r="91" spans="1:10" x14ac:dyDescent="0.35">
      <c r="A91" s="49" t="s">
        <v>31</v>
      </c>
      <c r="B91" s="50">
        <v>1</v>
      </c>
      <c r="C91" s="50" t="s">
        <v>38</v>
      </c>
      <c r="D91" s="429">
        <f t="shared" si="9"/>
        <v>411135.20473628526</v>
      </c>
      <c r="E91" s="545">
        <v>2.5643382999999999E-3</v>
      </c>
      <c r="F91" s="545">
        <v>0.1144474588</v>
      </c>
      <c r="G91" s="545">
        <v>1.6807126662</v>
      </c>
      <c r="H91" s="545">
        <v>1.795160125</v>
      </c>
    </row>
    <row r="92" spans="1:10" x14ac:dyDescent="0.35">
      <c r="A92" s="49" t="s">
        <v>31</v>
      </c>
      <c r="B92" s="50">
        <v>1</v>
      </c>
      <c r="C92" s="50" t="s">
        <v>37</v>
      </c>
      <c r="D92" s="429">
        <f t="shared" si="9"/>
        <v>433931.61200279137</v>
      </c>
      <c r="E92" s="545">
        <v>3.2171048043999999</v>
      </c>
      <c r="F92" s="545">
        <v>100.79547953330001</v>
      </c>
      <c r="G92" s="545">
        <v>137.138146186</v>
      </c>
      <c r="H92" s="545">
        <v>237.933625726</v>
      </c>
    </row>
    <row r="93" spans="1:10" x14ac:dyDescent="0.35">
      <c r="A93" s="49" t="s">
        <v>31</v>
      </c>
      <c r="B93" s="50">
        <v>1</v>
      </c>
      <c r="C93" s="50" t="s">
        <v>36</v>
      </c>
      <c r="D93" s="429">
        <f t="shared" si="9"/>
        <v>218465.56963735004</v>
      </c>
      <c r="E93" s="545">
        <v>33.964022483999997</v>
      </c>
      <c r="F93" s="545">
        <v>777.51089052999998</v>
      </c>
      <c r="G93" s="545">
        <v>507.70679132999999</v>
      </c>
      <c r="H93" s="545">
        <v>1285.21768185</v>
      </c>
    </row>
    <row r="94" spans="1:10" x14ac:dyDescent="0.35">
      <c r="A94" s="49" t="s">
        <v>31</v>
      </c>
      <c r="B94" s="50">
        <v>1</v>
      </c>
      <c r="C94" s="50" t="s">
        <v>35</v>
      </c>
      <c r="D94" s="429">
        <f t="shared" si="9"/>
        <v>124980.30299619566</v>
      </c>
      <c r="E94" s="545">
        <v>146.870108042</v>
      </c>
      <c r="F94" s="545">
        <v>2143.6896031799997</v>
      </c>
      <c r="G94" s="545">
        <v>1099.68310896</v>
      </c>
      <c r="H94" s="545">
        <v>3243.3727122</v>
      </c>
    </row>
    <row r="95" spans="1:10" x14ac:dyDescent="0.35">
      <c r="A95" s="49" t="s">
        <v>31</v>
      </c>
      <c r="B95" s="50">
        <v>1</v>
      </c>
      <c r="C95" s="50" t="s">
        <v>34</v>
      </c>
      <c r="D95" s="429">
        <f t="shared" si="9"/>
        <v>62890.088467685659</v>
      </c>
      <c r="E95" s="545">
        <v>893.58862438999995</v>
      </c>
      <c r="F95" s="545">
        <v>5834.9583530999998</v>
      </c>
      <c r="G95" s="545">
        <v>2902.5553673999998</v>
      </c>
      <c r="H95" s="545">
        <v>8737.5137204999992</v>
      </c>
    </row>
    <row r="96" spans="1:10" x14ac:dyDescent="0.35">
      <c r="A96" s="49" t="s">
        <v>31</v>
      </c>
      <c r="B96" s="50">
        <v>2</v>
      </c>
      <c r="C96" s="50" t="s">
        <v>2</v>
      </c>
      <c r="D96" s="429">
        <f t="shared" si="9"/>
        <v>151776.07995858003</v>
      </c>
      <c r="E96" s="545">
        <v>0</v>
      </c>
      <c r="F96" s="545">
        <v>0</v>
      </c>
      <c r="G96" s="545">
        <v>0</v>
      </c>
      <c r="H96" s="545">
        <v>0</v>
      </c>
    </row>
    <row r="97" spans="1:8" x14ac:dyDescent="0.35">
      <c r="A97" s="49" t="s">
        <v>31</v>
      </c>
      <c r="B97" s="50">
        <v>2</v>
      </c>
      <c r="C97" s="50" t="s">
        <v>40</v>
      </c>
      <c r="D97" s="429">
        <f t="shared" si="9"/>
        <v>291054.12961754046</v>
      </c>
      <c r="E97" s="545">
        <v>0</v>
      </c>
      <c r="F97" s="545">
        <v>0</v>
      </c>
      <c r="G97" s="545">
        <v>0</v>
      </c>
      <c r="H97" s="545">
        <v>0</v>
      </c>
    </row>
    <row r="98" spans="1:8" x14ac:dyDescent="0.35">
      <c r="A98" s="49" t="s">
        <v>31</v>
      </c>
      <c r="B98" s="50">
        <v>2</v>
      </c>
      <c r="C98" s="50" t="s">
        <v>39</v>
      </c>
      <c r="D98" s="429">
        <f t="shared" si="9"/>
        <v>450129.05927109829</v>
      </c>
      <c r="E98" s="545">
        <v>0</v>
      </c>
      <c r="F98" s="545">
        <v>0</v>
      </c>
      <c r="G98" s="545">
        <v>0</v>
      </c>
      <c r="H98" s="545">
        <v>0</v>
      </c>
    </row>
    <row r="99" spans="1:8" x14ac:dyDescent="0.35">
      <c r="A99" s="49" t="s">
        <v>31</v>
      </c>
      <c r="B99" s="50">
        <v>2</v>
      </c>
      <c r="C99" s="50" t="s">
        <v>38</v>
      </c>
      <c r="D99" s="429">
        <f t="shared" si="9"/>
        <v>452828.63381581614</v>
      </c>
      <c r="E99" s="545">
        <v>6.2399216999999996E-3</v>
      </c>
      <c r="F99" s="545">
        <v>0.27830878310000001</v>
      </c>
      <c r="G99" s="545">
        <v>2.0033456513000001</v>
      </c>
      <c r="H99" s="545">
        <v>2.2816544344</v>
      </c>
    </row>
    <row r="100" spans="1:8" x14ac:dyDescent="0.35">
      <c r="A100" s="49" t="s">
        <v>31</v>
      </c>
      <c r="B100" s="50">
        <v>2</v>
      </c>
      <c r="C100" s="50" t="s">
        <v>37</v>
      </c>
      <c r="D100" s="429">
        <f t="shared" si="9"/>
        <v>463426.96350989351</v>
      </c>
      <c r="E100" s="545">
        <v>4.9477330332999996</v>
      </c>
      <c r="F100" s="545">
        <v>155.76665980039999</v>
      </c>
      <c r="G100" s="545">
        <v>162.53002520000001</v>
      </c>
      <c r="H100" s="545">
        <v>318.29668499900004</v>
      </c>
    </row>
    <row r="101" spans="1:8" x14ac:dyDescent="0.35">
      <c r="A101" s="49" t="s">
        <v>31</v>
      </c>
      <c r="B101" s="50">
        <v>2</v>
      </c>
      <c r="C101" s="50" t="s">
        <v>36</v>
      </c>
      <c r="D101" s="429">
        <f t="shared" si="9"/>
        <v>228264.02539225176</v>
      </c>
      <c r="E101" s="545">
        <v>36.801596252000003</v>
      </c>
      <c r="F101" s="545">
        <v>849.48062419999997</v>
      </c>
      <c r="G101" s="545">
        <v>629.05238712999994</v>
      </c>
      <c r="H101" s="545">
        <v>1478.5330113300001</v>
      </c>
    </row>
    <row r="102" spans="1:8" x14ac:dyDescent="0.35">
      <c r="A102" s="49" t="s">
        <v>31</v>
      </c>
      <c r="B102" s="50">
        <v>2</v>
      </c>
      <c r="C102" s="50" t="s">
        <v>35</v>
      </c>
      <c r="D102" s="429">
        <f t="shared" si="9"/>
        <v>138278.20723499087</v>
      </c>
      <c r="E102" s="545">
        <v>153.85179304600001</v>
      </c>
      <c r="F102" s="545">
        <v>2225.0478313399999</v>
      </c>
      <c r="G102" s="545">
        <v>1849.15877649</v>
      </c>
      <c r="H102" s="545">
        <v>4074.2066079000001</v>
      </c>
    </row>
    <row r="103" spans="1:8" x14ac:dyDescent="0.35">
      <c r="A103" s="49" t="s">
        <v>31</v>
      </c>
      <c r="B103" s="50">
        <v>2</v>
      </c>
      <c r="C103" s="50" t="s">
        <v>34</v>
      </c>
      <c r="D103" s="429">
        <f t="shared" si="9"/>
        <v>93885.203610742174</v>
      </c>
      <c r="E103" s="545">
        <v>1385.6169268000001</v>
      </c>
      <c r="F103" s="545">
        <v>7912.5109543999997</v>
      </c>
      <c r="G103" s="545">
        <v>7382.3323575000004</v>
      </c>
      <c r="H103" s="545">
        <v>15294.843312000001</v>
      </c>
    </row>
    <row r="104" spans="1:8" x14ac:dyDescent="0.35">
      <c r="D104" s="430">
        <f t="shared" ref="D104" si="10">SUM(D88:D103)</f>
        <v>4441600</v>
      </c>
      <c r="E104" s="431">
        <f>SUM(E88:E103)</f>
        <v>2658.8667131116999</v>
      </c>
      <c r="F104" s="431">
        <f>SUM(F88:F103)</f>
        <v>20000.153152325598</v>
      </c>
      <c r="G104" s="431">
        <f>SUM(G88:G103)</f>
        <v>14673.8410185135</v>
      </c>
      <c r="H104" s="431">
        <f>SUM(H88:H103)</f>
        <v>34673.994171064405</v>
      </c>
    </row>
    <row r="105" spans="1:8" x14ac:dyDescent="0.35">
      <c r="A105" s="49" t="s">
        <v>32</v>
      </c>
      <c r="B105" s="50">
        <v>1</v>
      </c>
      <c r="C105" s="50" t="s">
        <v>2</v>
      </c>
      <c r="D105" s="429">
        <f>D88</f>
        <v>160174.75631992437</v>
      </c>
      <c r="E105" s="545">
        <v>0.34089511630000002</v>
      </c>
      <c r="F105" s="545">
        <v>29.30613396</v>
      </c>
      <c r="G105" s="545">
        <v>8.1131372920999993</v>
      </c>
      <c r="H105" s="545">
        <v>37.419271252000001</v>
      </c>
    </row>
    <row r="106" spans="1:8" x14ac:dyDescent="0.35">
      <c r="A106" s="49" t="s">
        <v>32</v>
      </c>
      <c r="B106" s="50">
        <v>1</v>
      </c>
      <c r="C106" s="50" t="s">
        <v>40</v>
      </c>
      <c r="D106" s="429">
        <f>D89</f>
        <v>305751.81324989308</v>
      </c>
      <c r="E106" s="545">
        <v>7.9859147399999997E-2</v>
      </c>
      <c r="F106" s="545">
        <v>5.9928918982999999</v>
      </c>
      <c r="G106" s="545">
        <v>56.864505768999997</v>
      </c>
      <c r="H106" s="545">
        <v>62.857397667000001</v>
      </c>
    </row>
    <row r="107" spans="1:8" x14ac:dyDescent="0.35">
      <c r="A107" s="49" t="s">
        <v>32</v>
      </c>
      <c r="B107" s="50">
        <v>1</v>
      </c>
      <c r="C107" s="50" t="s">
        <v>39</v>
      </c>
      <c r="D107" s="429">
        <f t="shared" ref="D107:D120" si="11">D90</f>
        <v>454628.35017896135</v>
      </c>
      <c r="E107" s="545">
        <v>1.431829169</v>
      </c>
      <c r="F107" s="545">
        <v>88.445344141999996</v>
      </c>
      <c r="G107" s="545">
        <v>340.89041870799997</v>
      </c>
      <c r="H107" s="545">
        <v>429.335762848</v>
      </c>
    </row>
    <row r="108" spans="1:8" x14ac:dyDescent="0.35">
      <c r="A108" s="49" t="s">
        <v>32</v>
      </c>
      <c r="B108" s="50">
        <v>1</v>
      </c>
      <c r="C108" s="50" t="s">
        <v>38</v>
      </c>
      <c r="D108" s="429">
        <f t="shared" si="11"/>
        <v>411135.20473628526</v>
      </c>
      <c r="E108" s="545">
        <v>6.6268327268</v>
      </c>
      <c r="F108" s="545">
        <v>315.98075589199999</v>
      </c>
      <c r="G108" s="545">
        <v>1025.1558597599999</v>
      </c>
      <c r="H108" s="545">
        <v>1341.13661566</v>
      </c>
    </row>
    <row r="109" spans="1:8" x14ac:dyDescent="0.35">
      <c r="A109" s="49" t="s">
        <v>32</v>
      </c>
      <c r="B109" s="50">
        <v>1</v>
      </c>
      <c r="C109" s="50" t="s">
        <v>37</v>
      </c>
      <c r="D109" s="429">
        <f t="shared" si="11"/>
        <v>433931.61200279137</v>
      </c>
      <c r="E109" s="545">
        <v>43.227022321299998</v>
      </c>
      <c r="F109" s="545">
        <v>1462.67990564</v>
      </c>
      <c r="G109" s="545">
        <v>3178.82335281</v>
      </c>
      <c r="H109" s="545">
        <v>4641.5032585000008</v>
      </c>
    </row>
    <row r="110" spans="1:8" x14ac:dyDescent="0.35">
      <c r="A110" s="49" t="s">
        <v>32</v>
      </c>
      <c r="B110" s="50">
        <v>1</v>
      </c>
      <c r="C110" s="50" t="s">
        <v>36</v>
      </c>
      <c r="D110" s="429">
        <f t="shared" si="11"/>
        <v>218465.56963735004</v>
      </c>
      <c r="E110" s="545">
        <v>76.387744022999996</v>
      </c>
      <c r="F110" s="545">
        <v>1802.9941692399998</v>
      </c>
      <c r="G110" s="545">
        <v>2564.9387305</v>
      </c>
      <c r="H110" s="545">
        <v>4367.9328998000001</v>
      </c>
    </row>
    <row r="111" spans="1:8" x14ac:dyDescent="0.35">
      <c r="A111" s="49" t="s">
        <v>32</v>
      </c>
      <c r="B111" s="50">
        <v>1</v>
      </c>
      <c r="C111" s="50" t="s">
        <v>35</v>
      </c>
      <c r="D111" s="429">
        <f t="shared" si="11"/>
        <v>124980.30299619566</v>
      </c>
      <c r="E111" s="545">
        <v>107.11695616</v>
      </c>
      <c r="F111" s="545">
        <v>1610.0903025900002</v>
      </c>
      <c r="G111" s="545">
        <v>1532.8892763399999</v>
      </c>
      <c r="H111" s="545">
        <v>3142.9795789999998</v>
      </c>
    </row>
    <row r="112" spans="1:8" x14ac:dyDescent="0.35">
      <c r="A112" s="49" t="s">
        <v>32</v>
      </c>
      <c r="B112" s="50">
        <v>1</v>
      </c>
      <c r="C112" s="50" t="s">
        <v>34</v>
      </c>
      <c r="D112" s="429">
        <f t="shared" si="11"/>
        <v>62890.088467685659</v>
      </c>
      <c r="E112" s="545">
        <v>161.71845045000001</v>
      </c>
      <c r="F112" s="545">
        <v>1055.9897446</v>
      </c>
      <c r="G112" s="545">
        <v>1060.0330243000001</v>
      </c>
      <c r="H112" s="545">
        <v>2116.0227688999998</v>
      </c>
    </row>
    <row r="113" spans="1:8" x14ac:dyDescent="0.35">
      <c r="A113" s="49" t="s">
        <v>32</v>
      </c>
      <c r="B113" s="50">
        <v>2</v>
      </c>
      <c r="C113" s="50" t="s">
        <v>2</v>
      </c>
      <c r="D113" s="429">
        <f t="shared" si="11"/>
        <v>151776.07995858003</v>
      </c>
      <c r="E113" s="545">
        <v>0.1286773822</v>
      </c>
      <c r="F113" s="545">
        <v>11.090167471999999</v>
      </c>
      <c r="G113" s="545">
        <v>7.2819347073999996</v>
      </c>
      <c r="H113" s="545">
        <v>18.372102178999999</v>
      </c>
    </row>
    <row r="114" spans="1:8" x14ac:dyDescent="0.35">
      <c r="A114" s="49" t="s">
        <v>32</v>
      </c>
      <c r="B114" s="50">
        <v>2</v>
      </c>
      <c r="C114" s="50" t="s">
        <v>40</v>
      </c>
      <c r="D114" s="429">
        <f t="shared" si="11"/>
        <v>291054.12961754046</v>
      </c>
      <c r="E114" s="545">
        <v>9.1987191900000001E-2</v>
      </c>
      <c r="F114" s="545">
        <v>7.0253632061999998</v>
      </c>
      <c r="G114" s="545">
        <v>56.953674241999998</v>
      </c>
      <c r="H114" s="545">
        <v>63.979037448</v>
      </c>
    </row>
    <row r="115" spans="1:8" x14ac:dyDescent="0.35">
      <c r="A115" s="49" t="s">
        <v>32</v>
      </c>
      <c r="B115" s="50">
        <v>2</v>
      </c>
      <c r="C115" s="50" t="s">
        <v>39</v>
      </c>
      <c r="D115" s="429">
        <f t="shared" si="11"/>
        <v>450129.05927109829</v>
      </c>
      <c r="E115" s="545">
        <v>0.79108481689999999</v>
      </c>
      <c r="F115" s="545">
        <v>50.732174412999996</v>
      </c>
      <c r="G115" s="545">
        <v>331.00076715599999</v>
      </c>
      <c r="H115" s="545">
        <v>381.73294156899999</v>
      </c>
    </row>
    <row r="116" spans="1:8" x14ac:dyDescent="0.35">
      <c r="A116" s="49" t="s">
        <v>32</v>
      </c>
      <c r="B116" s="50">
        <v>2</v>
      </c>
      <c r="C116" s="50" t="s">
        <v>38</v>
      </c>
      <c r="D116" s="429">
        <f t="shared" si="11"/>
        <v>452828.63381581614</v>
      </c>
      <c r="E116" s="545">
        <v>4.1234090674999999</v>
      </c>
      <c r="F116" s="545">
        <v>197.85418739099998</v>
      </c>
      <c r="G116" s="545">
        <v>1072.2326660899998</v>
      </c>
      <c r="H116" s="545">
        <v>1270.0868534900001</v>
      </c>
    </row>
    <row r="117" spans="1:8" x14ac:dyDescent="0.35">
      <c r="A117" s="49" t="s">
        <v>32</v>
      </c>
      <c r="B117" s="50">
        <v>2</v>
      </c>
      <c r="C117" s="50" t="s">
        <v>37</v>
      </c>
      <c r="D117" s="429">
        <f t="shared" si="11"/>
        <v>463426.96350989351</v>
      </c>
      <c r="E117" s="545">
        <v>23.3532453539</v>
      </c>
      <c r="F117" s="545">
        <v>789.15048862999993</v>
      </c>
      <c r="G117" s="545">
        <v>2748.3799269700003</v>
      </c>
      <c r="H117" s="545">
        <v>3537.5304157</v>
      </c>
    </row>
    <row r="118" spans="1:8" x14ac:dyDescent="0.35">
      <c r="A118" s="49" t="s">
        <v>32</v>
      </c>
      <c r="B118" s="50">
        <v>2</v>
      </c>
      <c r="C118" s="50" t="s">
        <v>36</v>
      </c>
      <c r="D118" s="429">
        <f t="shared" si="11"/>
        <v>228264.02539225176</v>
      </c>
      <c r="E118" s="545">
        <v>46.930077828000002</v>
      </c>
      <c r="F118" s="545">
        <v>1100.3978576499999</v>
      </c>
      <c r="G118" s="545">
        <v>2202.1449310200001</v>
      </c>
      <c r="H118" s="545">
        <v>3302.5427887000001</v>
      </c>
    </row>
    <row r="119" spans="1:8" x14ac:dyDescent="0.35">
      <c r="A119" s="49" t="s">
        <v>32</v>
      </c>
      <c r="B119" s="50">
        <v>2</v>
      </c>
      <c r="C119" s="50" t="s">
        <v>35</v>
      </c>
      <c r="D119" s="429">
        <f t="shared" si="11"/>
        <v>138278.20723499087</v>
      </c>
      <c r="E119" s="545">
        <v>70.767002965000003</v>
      </c>
      <c r="F119" s="545">
        <v>1068.95697931</v>
      </c>
      <c r="G119" s="545">
        <v>1691.3588196599999</v>
      </c>
      <c r="H119" s="545">
        <v>2760.315799</v>
      </c>
    </row>
    <row r="120" spans="1:8" x14ac:dyDescent="0.35">
      <c r="A120" s="49" t="s">
        <v>32</v>
      </c>
      <c r="B120" s="50">
        <v>2</v>
      </c>
      <c r="C120" s="50" t="s">
        <v>34</v>
      </c>
      <c r="D120" s="429">
        <f t="shared" si="11"/>
        <v>93885.203610742174</v>
      </c>
      <c r="E120" s="545">
        <v>187.39599039000001</v>
      </c>
      <c r="F120" s="545">
        <v>1070.1174315000001</v>
      </c>
      <c r="G120" s="545">
        <v>1208.3071696</v>
      </c>
      <c r="H120" s="545">
        <v>2278.4246011</v>
      </c>
    </row>
    <row r="121" spans="1:8" x14ac:dyDescent="0.35">
      <c r="D121" s="430">
        <f t="shared" ref="D121" si="12">SUM(D105:D120)</f>
        <v>4441600</v>
      </c>
      <c r="E121" s="431">
        <f>SUM(E105:E120)</f>
        <v>730.51106410920011</v>
      </c>
      <c r="F121" s="431">
        <f>SUM(F105:F120)</f>
        <v>10666.803897534501</v>
      </c>
      <c r="G121" s="431">
        <f>SUM(G105:G120)</f>
        <v>19085.3681949245</v>
      </c>
      <c r="H121" s="431">
        <f>SUM(H105:H120)</f>
        <v>29752.172092812998</v>
      </c>
    </row>
    <row r="122" spans="1:8" x14ac:dyDescent="0.35">
      <c r="A122" s="49" t="s">
        <v>29</v>
      </c>
      <c r="B122" s="50">
        <v>1</v>
      </c>
      <c r="C122" s="50" t="s">
        <v>2</v>
      </c>
      <c r="D122" s="429">
        <f>D105</f>
        <v>160174.75631992437</v>
      </c>
      <c r="E122" s="545">
        <v>0</v>
      </c>
      <c r="F122" s="545">
        <v>0</v>
      </c>
      <c r="G122" s="545">
        <v>11.809498831000001</v>
      </c>
      <c r="H122" s="545">
        <v>11.809498831000001</v>
      </c>
    </row>
    <row r="123" spans="1:8" x14ac:dyDescent="0.35">
      <c r="A123" s="49" t="s">
        <v>29</v>
      </c>
      <c r="B123" s="50">
        <v>1</v>
      </c>
      <c r="C123" s="50" t="s">
        <v>40</v>
      </c>
      <c r="D123" s="429">
        <f>D106</f>
        <v>305751.81324989308</v>
      </c>
      <c r="E123" s="545">
        <v>0</v>
      </c>
      <c r="F123" s="545">
        <v>0</v>
      </c>
      <c r="G123" s="545">
        <v>677.74848788999998</v>
      </c>
      <c r="H123" s="545">
        <v>677.74848788999998</v>
      </c>
    </row>
    <row r="124" spans="1:8" x14ac:dyDescent="0.35">
      <c r="A124" s="49" t="s">
        <v>29</v>
      </c>
      <c r="B124" s="50">
        <v>1</v>
      </c>
      <c r="C124" s="50" t="s">
        <v>39</v>
      </c>
      <c r="D124" s="429">
        <f t="shared" ref="D124:D137" si="13">D107</f>
        <v>454628.35017896135</v>
      </c>
      <c r="E124" s="545">
        <v>0</v>
      </c>
      <c r="F124" s="545">
        <v>0</v>
      </c>
      <c r="G124" s="545">
        <v>3640.9535305999998</v>
      </c>
      <c r="H124" s="545">
        <v>3640.9535305999998</v>
      </c>
    </row>
    <row r="125" spans="1:8" x14ac:dyDescent="0.35">
      <c r="A125" s="49" t="s">
        <v>29</v>
      </c>
      <c r="B125" s="50">
        <v>1</v>
      </c>
      <c r="C125" s="50" t="s">
        <v>38</v>
      </c>
      <c r="D125" s="429">
        <f t="shared" si="13"/>
        <v>411135.20473628526</v>
      </c>
      <c r="E125" s="545">
        <v>0</v>
      </c>
      <c r="F125" s="545">
        <v>0</v>
      </c>
      <c r="G125" s="545">
        <v>3544.2153207000001</v>
      </c>
      <c r="H125" s="545">
        <v>3544.2153207000001</v>
      </c>
    </row>
    <row r="126" spans="1:8" x14ac:dyDescent="0.35">
      <c r="A126" s="49" t="s">
        <v>29</v>
      </c>
      <c r="B126" s="50">
        <v>1</v>
      </c>
      <c r="C126" s="50" t="s">
        <v>37</v>
      </c>
      <c r="D126" s="429">
        <f t="shared" si="13"/>
        <v>433931.61200279137</v>
      </c>
      <c r="E126" s="545">
        <v>0</v>
      </c>
      <c r="F126" s="545">
        <v>0</v>
      </c>
      <c r="G126" s="545">
        <v>3793.6854604999999</v>
      </c>
      <c r="H126" s="545">
        <v>3793.6854604999999</v>
      </c>
    </row>
    <row r="127" spans="1:8" x14ac:dyDescent="0.35">
      <c r="A127" s="49" t="s">
        <v>29</v>
      </c>
      <c r="B127" s="50">
        <v>1</v>
      </c>
      <c r="C127" s="50" t="s">
        <v>36</v>
      </c>
      <c r="D127" s="429">
        <f t="shared" si="13"/>
        <v>218465.56963735004</v>
      </c>
      <c r="E127" s="545">
        <v>0</v>
      </c>
      <c r="F127" s="545">
        <v>0</v>
      </c>
      <c r="G127" s="545">
        <v>1843.5333639199998</v>
      </c>
      <c r="H127" s="545">
        <v>1843.5333639199998</v>
      </c>
    </row>
    <row r="128" spans="1:8" x14ac:dyDescent="0.35">
      <c r="A128" s="49" t="s">
        <v>29</v>
      </c>
      <c r="B128" s="50">
        <v>1</v>
      </c>
      <c r="C128" s="50" t="s">
        <v>35</v>
      </c>
      <c r="D128" s="429">
        <f t="shared" si="13"/>
        <v>124980.30299619566</v>
      </c>
      <c r="E128" s="545">
        <v>0</v>
      </c>
      <c r="F128" s="545">
        <v>0</v>
      </c>
      <c r="G128" s="545">
        <v>874.18039341999997</v>
      </c>
      <c r="H128" s="545">
        <v>874.18039341999997</v>
      </c>
    </row>
    <row r="129" spans="1:8" x14ac:dyDescent="0.35">
      <c r="A129" s="49" t="s">
        <v>29</v>
      </c>
      <c r="B129" s="50">
        <v>1</v>
      </c>
      <c r="C129" s="50" t="s">
        <v>34</v>
      </c>
      <c r="D129" s="429">
        <f t="shared" si="13"/>
        <v>62890.088467685659</v>
      </c>
      <c r="E129" s="545">
        <v>0</v>
      </c>
      <c r="F129" s="545">
        <v>0</v>
      </c>
      <c r="G129" s="545">
        <v>423.10698554999999</v>
      </c>
      <c r="H129" s="545">
        <v>423.10698554999999</v>
      </c>
    </row>
    <row r="130" spans="1:8" x14ac:dyDescent="0.35">
      <c r="A130" s="49" t="s">
        <v>29</v>
      </c>
      <c r="B130" s="50">
        <v>2</v>
      </c>
      <c r="C130" s="50" t="s">
        <v>2</v>
      </c>
      <c r="D130" s="429">
        <f t="shared" si="13"/>
        <v>151776.07995858003</v>
      </c>
      <c r="E130" s="545">
        <v>0</v>
      </c>
      <c r="F130" s="545">
        <v>0</v>
      </c>
      <c r="G130" s="545">
        <v>18.318758037999999</v>
      </c>
      <c r="H130" s="545">
        <v>18.318758037999999</v>
      </c>
    </row>
    <row r="131" spans="1:8" x14ac:dyDescent="0.35">
      <c r="A131" s="49" t="s">
        <v>29</v>
      </c>
      <c r="B131" s="50">
        <v>2</v>
      </c>
      <c r="C131" s="50" t="s">
        <v>40</v>
      </c>
      <c r="D131" s="429">
        <f t="shared" si="13"/>
        <v>291054.12961754046</v>
      </c>
      <c r="E131" s="545">
        <v>0</v>
      </c>
      <c r="F131" s="545">
        <v>0</v>
      </c>
      <c r="G131" s="545">
        <v>1107.35504356</v>
      </c>
      <c r="H131" s="545">
        <v>1107.35504356</v>
      </c>
    </row>
    <row r="132" spans="1:8" x14ac:dyDescent="0.35">
      <c r="A132" s="49" t="s">
        <v>29</v>
      </c>
      <c r="B132" s="50">
        <v>2</v>
      </c>
      <c r="C132" s="50" t="s">
        <v>39</v>
      </c>
      <c r="D132" s="429">
        <f t="shared" si="13"/>
        <v>450129.05927109829</v>
      </c>
      <c r="E132" s="545">
        <v>0</v>
      </c>
      <c r="F132" s="545">
        <v>0</v>
      </c>
      <c r="G132" s="545">
        <v>6330.4933456999997</v>
      </c>
      <c r="H132" s="545">
        <v>6330.4933456999997</v>
      </c>
    </row>
    <row r="133" spans="1:8" x14ac:dyDescent="0.35">
      <c r="A133" s="49" t="s">
        <v>29</v>
      </c>
      <c r="B133" s="50">
        <v>2</v>
      </c>
      <c r="C133" s="50" t="s">
        <v>38</v>
      </c>
      <c r="D133" s="429">
        <f t="shared" si="13"/>
        <v>452828.63381581614</v>
      </c>
      <c r="E133" s="545">
        <v>0</v>
      </c>
      <c r="F133" s="545">
        <v>0</v>
      </c>
      <c r="G133" s="545">
        <v>6115.1374939999996</v>
      </c>
      <c r="H133" s="545">
        <v>6115.1374939999996</v>
      </c>
    </row>
    <row r="134" spans="1:8" x14ac:dyDescent="0.35">
      <c r="A134" s="49" t="s">
        <v>29</v>
      </c>
      <c r="B134" s="50">
        <v>2</v>
      </c>
      <c r="C134" s="50" t="s">
        <v>37</v>
      </c>
      <c r="D134" s="429">
        <f t="shared" si="13"/>
        <v>463426.96350989351</v>
      </c>
      <c r="E134" s="545">
        <v>0</v>
      </c>
      <c r="F134" s="545">
        <v>0</v>
      </c>
      <c r="G134" s="545">
        <v>6195.4938056999999</v>
      </c>
      <c r="H134" s="545">
        <v>6195.4938056999999</v>
      </c>
    </row>
    <row r="135" spans="1:8" x14ac:dyDescent="0.35">
      <c r="A135" s="49" t="s">
        <v>29</v>
      </c>
      <c r="B135" s="50">
        <v>2</v>
      </c>
      <c r="C135" s="50" t="s">
        <v>36</v>
      </c>
      <c r="D135" s="429">
        <f t="shared" si="13"/>
        <v>228264.02539225176</v>
      </c>
      <c r="E135" s="545">
        <v>0</v>
      </c>
      <c r="F135" s="545">
        <v>0</v>
      </c>
      <c r="G135" s="545">
        <v>3001.6703299000001</v>
      </c>
      <c r="H135" s="545">
        <v>3001.6703299000001</v>
      </c>
    </row>
    <row r="136" spans="1:8" x14ac:dyDescent="0.35">
      <c r="A136" s="49" t="s">
        <v>29</v>
      </c>
      <c r="B136" s="50">
        <v>2</v>
      </c>
      <c r="C136" s="50" t="s">
        <v>35</v>
      </c>
      <c r="D136" s="429">
        <f t="shared" si="13"/>
        <v>138278.20723499087</v>
      </c>
      <c r="E136" s="545">
        <v>0</v>
      </c>
      <c r="F136" s="545">
        <v>0</v>
      </c>
      <c r="G136" s="545">
        <v>1548.47400307</v>
      </c>
      <c r="H136" s="545">
        <v>1548.47400307</v>
      </c>
    </row>
    <row r="137" spans="1:8" x14ac:dyDescent="0.35">
      <c r="A137" s="49" t="s">
        <v>29</v>
      </c>
      <c r="B137" s="50">
        <v>2</v>
      </c>
      <c r="C137" s="50" t="s">
        <v>34</v>
      </c>
      <c r="D137" s="429">
        <f t="shared" si="13"/>
        <v>93885.203610742174</v>
      </c>
      <c r="E137" s="545">
        <v>0</v>
      </c>
      <c r="F137" s="545">
        <v>0</v>
      </c>
      <c r="G137" s="545">
        <v>986.76809172000003</v>
      </c>
      <c r="H137" s="545">
        <v>986.76809172000003</v>
      </c>
    </row>
    <row r="138" spans="1:8" x14ac:dyDescent="0.35">
      <c r="D138" s="430">
        <f t="shared" ref="D138" si="14">SUM(D122:D137)</f>
        <v>4441600</v>
      </c>
      <c r="E138" s="431">
        <v>9.9999999999999995E-7</v>
      </c>
      <c r="F138" s="431">
        <v>1E-4</v>
      </c>
      <c r="G138" s="431">
        <f>SUM(G122:G137)</f>
        <v>40112.943913098999</v>
      </c>
      <c r="H138" s="431">
        <f>SUM(H122:H137)</f>
        <v>40112.943913098999</v>
      </c>
    </row>
    <row r="141" spans="1:8" x14ac:dyDescent="0.35">
      <c r="A141" s="432" t="s">
        <v>139</v>
      </c>
      <c r="B141" s="50">
        <v>1</v>
      </c>
      <c r="C141" s="50" t="s">
        <v>2</v>
      </c>
      <c r="D141" s="429">
        <f>D122</f>
        <v>160174.75631992437</v>
      </c>
      <c r="E141" s="545">
        <v>0</v>
      </c>
      <c r="F141" s="638">
        <v>0</v>
      </c>
      <c r="G141" s="545">
        <v>0</v>
      </c>
      <c r="H141" s="545">
        <v>0</v>
      </c>
    </row>
    <row r="142" spans="1:8" x14ac:dyDescent="0.35">
      <c r="A142" s="432" t="s">
        <v>139</v>
      </c>
      <c r="B142" s="50">
        <v>1</v>
      </c>
      <c r="C142" s="50" t="s">
        <v>40</v>
      </c>
      <c r="D142" s="429">
        <f t="shared" ref="D142:D156" si="15">D123</f>
        <v>305751.81324989308</v>
      </c>
      <c r="E142" s="545">
        <v>0</v>
      </c>
      <c r="F142" s="638">
        <v>0</v>
      </c>
      <c r="G142" s="545">
        <v>0</v>
      </c>
      <c r="H142" s="545">
        <v>0</v>
      </c>
    </row>
    <row r="143" spans="1:8" x14ac:dyDescent="0.35">
      <c r="A143" s="432" t="s">
        <v>139</v>
      </c>
      <c r="B143" s="50">
        <v>1</v>
      </c>
      <c r="C143" s="50" t="s">
        <v>39</v>
      </c>
      <c r="D143" s="429">
        <f t="shared" si="15"/>
        <v>454628.35017896135</v>
      </c>
      <c r="E143" s="545">
        <v>0.33236368630000002</v>
      </c>
      <c r="F143" s="545">
        <v>20.383888351000003</v>
      </c>
      <c r="G143" s="545">
        <v>0.16784365000000001</v>
      </c>
      <c r="H143" s="545">
        <v>20.551732002000001</v>
      </c>
    </row>
    <row r="144" spans="1:8" x14ac:dyDescent="0.35">
      <c r="A144" s="432" t="s">
        <v>139</v>
      </c>
      <c r="B144" s="50">
        <v>1</v>
      </c>
      <c r="C144" s="50" t="s">
        <v>38</v>
      </c>
      <c r="D144" s="429">
        <f t="shared" si="15"/>
        <v>411135.20473628526</v>
      </c>
      <c r="E144" s="545">
        <v>7.7090699529000002</v>
      </c>
      <c r="F144" s="545">
        <v>358.35414024700003</v>
      </c>
      <c r="G144" s="545">
        <v>3.2232455689999999</v>
      </c>
      <c r="H144" s="545">
        <v>361.577385816</v>
      </c>
    </row>
    <row r="145" spans="1:8" x14ac:dyDescent="0.35">
      <c r="A145" s="432" t="s">
        <v>139</v>
      </c>
      <c r="B145" s="50">
        <v>1</v>
      </c>
      <c r="C145" s="50" t="s">
        <v>37</v>
      </c>
      <c r="D145" s="429">
        <f t="shared" si="15"/>
        <v>433931.61200279137</v>
      </c>
      <c r="E145" s="545">
        <v>127.248956217</v>
      </c>
      <c r="F145" s="545">
        <v>4239.0679660400001</v>
      </c>
      <c r="G145" s="545">
        <v>45.212202347400002</v>
      </c>
      <c r="H145" s="545">
        <v>4284.2801684200003</v>
      </c>
    </row>
    <row r="146" spans="1:8" x14ac:dyDescent="0.35">
      <c r="A146" s="432" t="s">
        <v>139</v>
      </c>
      <c r="B146" s="50">
        <v>1</v>
      </c>
      <c r="C146" s="50" t="s">
        <v>36</v>
      </c>
      <c r="D146" s="429">
        <f t="shared" si="15"/>
        <v>218465.56963735004</v>
      </c>
      <c r="E146" s="545">
        <v>302.96997390000001</v>
      </c>
      <c r="F146" s="545">
        <v>7133.3893521999998</v>
      </c>
      <c r="G146" s="545">
        <v>97.793972113999999</v>
      </c>
      <c r="H146" s="545">
        <v>7231.1833243999999</v>
      </c>
    </row>
    <row r="147" spans="1:8" x14ac:dyDescent="0.35">
      <c r="A147" s="432" t="s">
        <v>139</v>
      </c>
      <c r="B147" s="50">
        <v>1</v>
      </c>
      <c r="C147" s="50" t="s">
        <v>35</v>
      </c>
      <c r="D147" s="429">
        <f t="shared" si="15"/>
        <v>124980.30299619566</v>
      </c>
      <c r="E147" s="545">
        <v>334.83510496999997</v>
      </c>
      <c r="F147" s="545">
        <v>5137.9358037000002</v>
      </c>
      <c r="G147" s="545">
        <v>97.652061472</v>
      </c>
      <c r="H147" s="545">
        <v>5235.5878651000003</v>
      </c>
    </row>
    <row r="148" spans="1:8" x14ac:dyDescent="0.35">
      <c r="A148" s="432" t="s">
        <v>139</v>
      </c>
      <c r="B148" s="50">
        <v>1</v>
      </c>
      <c r="C148" s="50" t="s">
        <v>34</v>
      </c>
      <c r="D148" s="429">
        <f t="shared" si="15"/>
        <v>62890.088467685659</v>
      </c>
      <c r="E148" s="545">
        <v>289.40469884999999</v>
      </c>
      <c r="F148" s="545">
        <v>1889.7558887</v>
      </c>
      <c r="G148" s="545">
        <v>71.497873924999993</v>
      </c>
      <c r="H148" s="545">
        <v>1961.2537626000001</v>
      </c>
    </row>
    <row r="149" spans="1:8" x14ac:dyDescent="0.35">
      <c r="A149" s="432" t="s">
        <v>139</v>
      </c>
      <c r="B149" s="50">
        <v>2</v>
      </c>
      <c r="C149" s="50" t="s">
        <v>2</v>
      </c>
      <c r="D149" s="429">
        <f t="shared" si="15"/>
        <v>151776.07995858003</v>
      </c>
      <c r="E149" s="545">
        <v>0</v>
      </c>
      <c r="F149" s="638">
        <v>0</v>
      </c>
      <c r="G149" s="545">
        <v>0</v>
      </c>
      <c r="H149" s="545">
        <v>0</v>
      </c>
    </row>
    <row r="150" spans="1:8" x14ac:dyDescent="0.35">
      <c r="A150" s="432" t="s">
        <v>139</v>
      </c>
      <c r="B150" s="50">
        <v>2</v>
      </c>
      <c r="C150" s="50" t="s">
        <v>40</v>
      </c>
      <c r="D150" s="429">
        <f t="shared" si="15"/>
        <v>291054.12961754046</v>
      </c>
      <c r="E150" s="545">
        <v>0</v>
      </c>
      <c r="F150" s="638">
        <v>0</v>
      </c>
      <c r="G150" s="545">
        <v>0</v>
      </c>
      <c r="H150" s="545">
        <v>0</v>
      </c>
    </row>
    <row r="151" spans="1:8" x14ac:dyDescent="0.35">
      <c r="A151" s="432" t="s">
        <v>139</v>
      </c>
      <c r="B151" s="50">
        <v>2</v>
      </c>
      <c r="C151" s="50" t="s">
        <v>39</v>
      </c>
      <c r="D151" s="429">
        <f t="shared" si="15"/>
        <v>450129.05927109829</v>
      </c>
      <c r="E151" s="545">
        <v>0.5412259143</v>
      </c>
      <c r="F151" s="545">
        <v>33.445279987999996</v>
      </c>
      <c r="G151" s="545">
        <v>0.3613412077</v>
      </c>
      <c r="H151" s="545">
        <v>33.8066211955</v>
      </c>
    </row>
    <row r="152" spans="1:8" x14ac:dyDescent="0.35">
      <c r="A152" s="432" t="s">
        <v>139</v>
      </c>
      <c r="B152" s="50">
        <v>2</v>
      </c>
      <c r="C152" s="50" t="s">
        <v>38</v>
      </c>
      <c r="D152" s="429">
        <f t="shared" si="15"/>
        <v>452828.63381581614</v>
      </c>
      <c r="E152" s="545">
        <v>13.2501647913</v>
      </c>
      <c r="F152" s="545">
        <v>618.42040101099997</v>
      </c>
      <c r="G152" s="545">
        <v>6.0096895177</v>
      </c>
      <c r="H152" s="545">
        <v>624.43009052699995</v>
      </c>
    </row>
    <row r="153" spans="1:8" x14ac:dyDescent="0.35">
      <c r="A153" s="432" t="s">
        <v>139</v>
      </c>
      <c r="B153" s="50">
        <v>2</v>
      </c>
      <c r="C153" s="50" t="s">
        <v>37</v>
      </c>
      <c r="D153" s="429">
        <f t="shared" si="15"/>
        <v>463426.96350989351</v>
      </c>
      <c r="E153" s="545">
        <v>136.100358747</v>
      </c>
      <c r="F153" s="545">
        <v>4580.7256228200004</v>
      </c>
      <c r="G153" s="545">
        <v>53.530140157700004</v>
      </c>
      <c r="H153" s="545">
        <v>4634.2557630199999</v>
      </c>
    </row>
    <row r="154" spans="1:8" x14ac:dyDescent="0.35">
      <c r="A154" s="432" t="s">
        <v>139</v>
      </c>
      <c r="B154" s="50">
        <v>2</v>
      </c>
      <c r="C154" s="50" t="s">
        <v>36</v>
      </c>
      <c r="D154" s="429">
        <f t="shared" si="15"/>
        <v>228264.02539225176</v>
      </c>
      <c r="E154" s="545">
        <v>238.38111823000003</v>
      </c>
      <c r="F154" s="545">
        <v>5634.6973672000004</v>
      </c>
      <c r="G154" s="545">
        <v>84.87715621000001</v>
      </c>
      <c r="H154" s="545">
        <v>5719.5745234000005</v>
      </c>
    </row>
    <row r="155" spans="1:8" x14ac:dyDescent="0.35">
      <c r="A155" s="432" t="s">
        <v>139</v>
      </c>
      <c r="B155" s="50">
        <v>2</v>
      </c>
      <c r="C155" s="50" t="s">
        <v>35</v>
      </c>
      <c r="D155" s="429">
        <f t="shared" si="15"/>
        <v>138278.20723499087</v>
      </c>
      <c r="E155" s="545">
        <v>209.40419386500002</v>
      </c>
      <c r="F155" s="545">
        <v>3213.0922998999999</v>
      </c>
      <c r="G155" s="545">
        <v>69.329123797999998</v>
      </c>
      <c r="H155" s="545">
        <v>3282.4214238</v>
      </c>
    </row>
    <row r="156" spans="1:8" x14ac:dyDescent="0.35">
      <c r="A156" s="432" t="s">
        <v>139</v>
      </c>
      <c r="B156" s="50">
        <v>2</v>
      </c>
      <c r="C156" s="50" t="s">
        <v>34</v>
      </c>
      <c r="D156" s="429">
        <f t="shared" si="15"/>
        <v>93885.203610742174</v>
      </c>
      <c r="E156" s="545">
        <v>176.82936776</v>
      </c>
      <c r="F156" s="545">
        <v>1009.7771486</v>
      </c>
      <c r="G156" s="545">
        <v>43.470812227000003</v>
      </c>
      <c r="H156" s="545">
        <v>1053.2479609</v>
      </c>
    </row>
    <row r="157" spans="1:8" x14ac:dyDescent="0.35">
      <c r="D157" s="430">
        <f t="shared" ref="D157:H157" si="16">SUM(D141:D156)</f>
        <v>4441600</v>
      </c>
      <c r="E157" s="431">
        <f t="shared" si="16"/>
        <v>1837.0065968838001</v>
      </c>
      <c r="F157" s="431">
        <f t="shared" si="16"/>
        <v>33869.045158757006</v>
      </c>
      <c r="G157" s="431">
        <f t="shared" si="16"/>
        <v>573.12546219550006</v>
      </c>
      <c r="H157" s="431">
        <f t="shared" si="16"/>
        <v>34442.170621180499</v>
      </c>
    </row>
    <row r="158" spans="1:8" x14ac:dyDescent="0.35">
      <c r="E158" s="433"/>
      <c r="F158" s="433"/>
      <c r="G158" s="433"/>
      <c r="H158" s="433"/>
    </row>
    <row r="159" spans="1:8" x14ac:dyDescent="0.35">
      <c r="A159" s="432" t="s">
        <v>140</v>
      </c>
      <c r="B159" s="50">
        <v>1</v>
      </c>
      <c r="C159" s="50" t="s">
        <v>2</v>
      </c>
      <c r="D159" s="429">
        <f>D141</f>
        <v>160174.75631992437</v>
      </c>
      <c r="E159" s="545">
        <v>6.1985814533000001</v>
      </c>
      <c r="F159" s="545">
        <v>532.98515500579992</v>
      </c>
      <c r="G159" s="545">
        <v>54.496054811</v>
      </c>
      <c r="H159" s="545">
        <v>587.48120981700004</v>
      </c>
    </row>
    <row r="160" spans="1:8" x14ac:dyDescent="0.35">
      <c r="A160" s="432" t="s">
        <v>140</v>
      </c>
      <c r="B160" s="50">
        <v>2</v>
      </c>
      <c r="C160" s="50" t="s">
        <v>2</v>
      </c>
      <c r="D160" s="429">
        <f>D130</f>
        <v>151776.07995858003</v>
      </c>
      <c r="E160" s="545">
        <v>4.9232863929999997</v>
      </c>
      <c r="F160" s="545">
        <v>422.86426869859997</v>
      </c>
      <c r="G160" s="545">
        <v>56.110704403299998</v>
      </c>
      <c r="H160" s="545">
        <v>478.97497309900001</v>
      </c>
    </row>
    <row r="161" spans="1:8" x14ac:dyDescent="0.35">
      <c r="D161" s="430">
        <f t="shared" ref="D161:H161" si="17">SUM(D159:D160)</f>
        <v>311950.8362785044</v>
      </c>
      <c r="E161" s="430">
        <f t="shared" si="17"/>
        <v>11.121867846299999</v>
      </c>
      <c r="F161" s="430">
        <f t="shared" si="17"/>
        <v>955.8494237043999</v>
      </c>
      <c r="G161" s="430">
        <f t="shared" si="17"/>
        <v>110.6067592143</v>
      </c>
      <c r="H161" s="430">
        <f t="shared" si="17"/>
        <v>1066.456182916</v>
      </c>
    </row>
    <row r="163" spans="1:8" x14ac:dyDescent="0.35">
      <c r="A163" s="432" t="s">
        <v>141</v>
      </c>
      <c r="B163" s="50">
        <v>1</v>
      </c>
      <c r="C163" s="50" t="s">
        <v>2</v>
      </c>
      <c r="D163" s="429">
        <f>D141</f>
        <v>160174.75631992437</v>
      </c>
      <c r="E163" s="545">
        <v>1.1650517784000001</v>
      </c>
      <c r="F163" s="545">
        <v>99.650218674499996</v>
      </c>
      <c r="G163" s="545">
        <v>5.1739345272000001</v>
      </c>
      <c r="H163" s="545">
        <v>104.82415320289999</v>
      </c>
    </row>
    <row r="164" spans="1:8" x14ac:dyDescent="0.35">
      <c r="A164" s="432" t="s">
        <v>141</v>
      </c>
      <c r="B164" s="50">
        <v>1</v>
      </c>
      <c r="C164" s="50" t="s">
        <v>40</v>
      </c>
      <c r="D164" s="429">
        <f t="shared" ref="D164:D178" si="18">D142</f>
        <v>305751.81324989308</v>
      </c>
      <c r="E164" s="545">
        <v>0.68231213479999986</v>
      </c>
      <c r="F164" s="545">
        <v>51.378020253300008</v>
      </c>
      <c r="G164" s="545">
        <v>29.690804963399994</v>
      </c>
      <c r="H164" s="545">
        <v>81.06882521659999</v>
      </c>
    </row>
    <row r="165" spans="1:8" x14ac:dyDescent="0.35">
      <c r="A165" s="432" t="s">
        <v>141</v>
      </c>
      <c r="B165" s="50">
        <v>1</v>
      </c>
      <c r="C165" s="50" t="s">
        <v>39</v>
      </c>
      <c r="D165" s="429">
        <f t="shared" si="18"/>
        <v>454628.35017896135</v>
      </c>
      <c r="E165" s="545">
        <v>8.2441379513000008</v>
      </c>
      <c r="F165" s="545">
        <v>522.08606110699998</v>
      </c>
      <c r="G165" s="545">
        <v>65.153056356099995</v>
      </c>
      <c r="H165" s="545">
        <v>587.23911745689998</v>
      </c>
    </row>
    <row r="166" spans="1:8" x14ac:dyDescent="0.35">
      <c r="A166" s="432" t="s">
        <v>141</v>
      </c>
      <c r="B166" s="50">
        <v>1</v>
      </c>
      <c r="C166" s="50" t="s">
        <v>38</v>
      </c>
      <c r="D166" s="429">
        <f t="shared" si="18"/>
        <v>411135.20473628526</v>
      </c>
      <c r="E166" s="545">
        <v>23.748828520999993</v>
      </c>
      <c r="F166" s="545">
        <v>1138.4688406149999</v>
      </c>
      <c r="G166" s="545">
        <v>87.912743306400003</v>
      </c>
      <c r="H166" s="545">
        <v>1226.3815840042998</v>
      </c>
    </row>
    <row r="167" spans="1:8" x14ac:dyDescent="0.35">
      <c r="A167" s="432" t="s">
        <v>141</v>
      </c>
      <c r="B167" s="50">
        <v>1</v>
      </c>
      <c r="C167" s="50" t="s">
        <v>37</v>
      </c>
      <c r="D167" s="429">
        <f t="shared" si="18"/>
        <v>433931.61200279137</v>
      </c>
      <c r="E167" s="545">
        <v>82.600534751800012</v>
      </c>
      <c r="F167" s="545">
        <v>2834.1071734919988</v>
      </c>
      <c r="G167" s="545">
        <v>351.19185263170016</v>
      </c>
      <c r="H167" s="545">
        <v>3185.2990261170016</v>
      </c>
    </row>
    <row r="168" spans="1:8" x14ac:dyDescent="0.35">
      <c r="A168" s="432" t="s">
        <v>141</v>
      </c>
      <c r="B168" s="50">
        <v>1</v>
      </c>
      <c r="C168" s="50" t="s">
        <v>36</v>
      </c>
      <c r="D168" s="429">
        <f t="shared" si="18"/>
        <v>218465.56963735004</v>
      </c>
      <c r="E168" s="545">
        <v>139.18726532599987</v>
      </c>
      <c r="F168" s="545">
        <v>3273.9817912599974</v>
      </c>
      <c r="G168" s="545">
        <v>558.48773045500002</v>
      </c>
      <c r="H168" s="545">
        <v>3832.4695221500006</v>
      </c>
    </row>
    <row r="169" spans="1:8" x14ac:dyDescent="0.35">
      <c r="A169" s="432" t="s">
        <v>141</v>
      </c>
      <c r="B169" s="50">
        <v>1</v>
      </c>
      <c r="C169" s="50" t="s">
        <v>35</v>
      </c>
      <c r="D169" s="429">
        <f t="shared" si="18"/>
        <v>124980.30299619566</v>
      </c>
      <c r="E169" s="545">
        <v>217.30636984259991</v>
      </c>
      <c r="F169" s="545">
        <v>3257.514821859997</v>
      </c>
      <c r="G169" s="545">
        <v>634.27989934499988</v>
      </c>
      <c r="H169" s="545">
        <v>3891.7947208499972</v>
      </c>
    </row>
    <row r="170" spans="1:8" x14ac:dyDescent="0.35">
      <c r="A170" s="432" t="s">
        <v>141</v>
      </c>
      <c r="B170" s="50">
        <v>1</v>
      </c>
      <c r="C170" s="50" t="s">
        <v>34</v>
      </c>
      <c r="D170" s="429">
        <f t="shared" si="18"/>
        <v>62890.088467685659</v>
      </c>
      <c r="E170" s="545">
        <v>492.53207180099935</v>
      </c>
      <c r="F170" s="545">
        <v>3216.1377717400028</v>
      </c>
      <c r="G170" s="545">
        <v>518.1415909939999</v>
      </c>
      <c r="H170" s="545">
        <v>3734.2793625399972</v>
      </c>
    </row>
    <row r="171" spans="1:8" x14ac:dyDescent="0.35">
      <c r="A171" s="432" t="s">
        <v>141</v>
      </c>
      <c r="B171" s="50">
        <v>2</v>
      </c>
      <c r="C171" s="50" t="s">
        <v>2</v>
      </c>
      <c r="D171" s="429">
        <f t="shared" si="18"/>
        <v>151776.07995858003</v>
      </c>
      <c r="E171" s="545">
        <v>1.0143438941</v>
      </c>
      <c r="F171" s="545">
        <v>86.711862376699997</v>
      </c>
      <c r="G171" s="545">
        <v>7.3514405209999998</v>
      </c>
      <c r="H171" s="545">
        <v>94.063302905200004</v>
      </c>
    </row>
    <row r="172" spans="1:8" x14ac:dyDescent="0.35">
      <c r="A172" s="432" t="s">
        <v>141</v>
      </c>
      <c r="B172" s="50">
        <v>2</v>
      </c>
      <c r="C172" s="50" t="s">
        <v>40</v>
      </c>
      <c r="D172" s="429">
        <f t="shared" si="18"/>
        <v>291054.12961754046</v>
      </c>
      <c r="E172" s="545">
        <v>0.6349173696</v>
      </c>
      <c r="F172" s="545">
        <v>47.782819773900002</v>
      </c>
      <c r="G172" s="545">
        <v>18.579573616499999</v>
      </c>
      <c r="H172" s="545">
        <v>66.362393390299999</v>
      </c>
    </row>
    <row r="173" spans="1:8" x14ac:dyDescent="0.35">
      <c r="A173" s="432" t="s">
        <v>141</v>
      </c>
      <c r="B173" s="50">
        <v>2</v>
      </c>
      <c r="C173" s="50" t="s">
        <v>39</v>
      </c>
      <c r="D173" s="429">
        <f t="shared" si="18"/>
        <v>450129.05927109829</v>
      </c>
      <c r="E173" s="545">
        <v>4.8279024554000003</v>
      </c>
      <c r="F173" s="545">
        <v>305.69901625819989</v>
      </c>
      <c r="G173" s="545">
        <v>110.99485182769999</v>
      </c>
      <c r="H173" s="545">
        <v>416.69386807799998</v>
      </c>
    </row>
    <row r="174" spans="1:8" x14ac:dyDescent="0.35">
      <c r="A174" s="432" t="s">
        <v>141</v>
      </c>
      <c r="B174" s="50">
        <v>2</v>
      </c>
      <c r="C174" s="50" t="s">
        <v>38</v>
      </c>
      <c r="D174" s="429">
        <f t="shared" si="18"/>
        <v>452828.63381581614</v>
      </c>
      <c r="E174" s="545">
        <v>12.538629309299999</v>
      </c>
      <c r="F174" s="545">
        <v>602.69928380730016</v>
      </c>
      <c r="G174" s="545">
        <v>90.344986811600009</v>
      </c>
      <c r="H174" s="545">
        <v>693.04427054049984</v>
      </c>
    </row>
    <row r="175" spans="1:8" x14ac:dyDescent="0.35">
      <c r="A175" s="432" t="s">
        <v>141</v>
      </c>
      <c r="B175" s="50">
        <v>2</v>
      </c>
      <c r="C175" s="50" t="s">
        <v>37</v>
      </c>
      <c r="D175" s="429">
        <f t="shared" si="18"/>
        <v>463426.96350989351</v>
      </c>
      <c r="E175" s="545">
        <v>41.594668552999991</v>
      </c>
      <c r="F175" s="545">
        <v>1429.3561527490001</v>
      </c>
      <c r="G175" s="545">
        <v>255.36545232959998</v>
      </c>
      <c r="H175" s="545">
        <v>1684.7216050760007</v>
      </c>
    </row>
    <row r="176" spans="1:8" x14ac:dyDescent="0.35">
      <c r="A176" s="432" t="s">
        <v>141</v>
      </c>
      <c r="B176" s="50">
        <v>2</v>
      </c>
      <c r="C176" s="50" t="s">
        <v>36</v>
      </c>
      <c r="D176" s="429">
        <f t="shared" si="18"/>
        <v>228264.02539225176</v>
      </c>
      <c r="E176" s="545">
        <v>78.085272735800004</v>
      </c>
      <c r="F176" s="545">
        <v>1827.1449705600016</v>
      </c>
      <c r="G176" s="545">
        <v>409.99027502310003</v>
      </c>
      <c r="H176" s="545">
        <v>2237.1352456200002</v>
      </c>
    </row>
    <row r="177" spans="1:8" x14ac:dyDescent="0.35">
      <c r="A177" s="432" t="s">
        <v>141</v>
      </c>
      <c r="B177" s="50">
        <v>2</v>
      </c>
      <c r="C177" s="50" t="s">
        <v>35</v>
      </c>
      <c r="D177" s="429">
        <f t="shared" si="18"/>
        <v>138278.20723499087</v>
      </c>
      <c r="E177" s="545">
        <v>153.65831365150007</v>
      </c>
      <c r="F177" s="545">
        <v>2283.1106965800009</v>
      </c>
      <c r="G177" s="545">
        <v>421.49223622399995</v>
      </c>
      <c r="H177" s="545">
        <v>2704.6029328600016</v>
      </c>
    </row>
    <row r="178" spans="1:8" x14ac:dyDescent="0.35">
      <c r="A178" s="432" t="s">
        <v>141</v>
      </c>
      <c r="B178" s="50">
        <v>2</v>
      </c>
      <c r="C178" s="50" t="s">
        <v>34</v>
      </c>
      <c r="D178" s="429">
        <f t="shared" si="18"/>
        <v>93885.203610742174</v>
      </c>
      <c r="E178" s="545">
        <v>652.98480209999934</v>
      </c>
      <c r="F178" s="545">
        <v>3728.8440248400002</v>
      </c>
      <c r="G178" s="545">
        <v>523.37496451200025</v>
      </c>
      <c r="H178" s="545">
        <v>4252.2189894000003</v>
      </c>
    </row>
    <row r="179" spans="1:8" x14ac:dyDescent="0.35">
      <c r="D179" s="430">
        <f t="shared" ref="D179:H179" si="19">SUM(D163:D178)</f>
        <v>4441600</v>
      </c>
      <c r="E179" s="431">
        <f t="shared" si="19"/>
        <v>1910.8054221755983</v>
      </c>
      <c r="F179" s="431">
        <f t="shared" si="19"/>
        <v>24704.673525946899</v>
      </c>
      <c r="G179" s="431">
        <f t="shared" si="19"/>
        <v>4087.5253934442999</v>
      </c>
      <c r="H179" s="431">
        <f t="shared" si="19"/>
        <v>28792.1989194077</v>
      </c>
    </row>
    <row r="181" spans="1:8" x14ac:dyDescent="0.35">
      <c r="A181" s="432" t="s">
        <v>142</v>
      </c>
      <c r="B181" s="50">
        <v>1</v>
      </c>
      <c r="C181" s="50" t="s">
        <v>2</v>
      </c>
      <c r="D181" s="429">
        <f>D163</f>
        <v>160174.75631992437</v>
      </c>
      <c r="E181" s="545">
        <v>7.6715113613000003</v>
      </c>
      <c r="F181" s="545">
        <v>659.21406013079991</v>
      </c>
      <c r="G181" s="545">
        <v>84.013260748299999</v>
      </c>
      <c r="H181" s="545">
        <v>743.227320878</v>
      </c>
    </row>
    <row r="182" spans="1:8" x14ac:dyDescent="0.35">
      <c r="A182" s="432" t="s">
        <v>142</v>
      </c>
      <c r="B182" s="50">
        <v>1</v>
      </c>
      <c r="C182" s="50" t="s">
        <v>40</v>
      </c>
      <c r="D182" s="429">
        <f t="shared" ref="D182:D196" si="20">D164</f>
        <v>305751.81324989308</v>
      </c>
      <c r="E182" s="545">
        <v>1.2936015256</v>
      </c>
      <c r="F182" s="545">
        <v>96.911937778400002</v>
      </c>
      <c r="G182" s="545">
        <v>2698.2431274925002</v>
      </c>
      <c r="H182" s="545">
        <v>2795.1550652844999</v>
      </c>
    </row>
    <row r="183" spans="1:8" x14ac:dyDescent="0.35">
      <c r="A183" s="432" t="s">
        <v>142</v>
      </c>
      <c r="B183" s="50">
        <v>1</v>
      </c>
      <c r="C183" s="50" t="s">
        <v>39</v>
      </c>
      <c r="D183" s="429">
        <f t="shared" si="20"/>
        <v>454628.35017896135</v>
      </c>
      <c r="E183" s="545">
        <v>5.5333046649000011</v>
      </c>
      <c r="F183" s="545">
        <v>357.18402558530005</v>
      </c>
      <c r="G183" s="545">
        <v>3902.8087296316999</v>
      </c>
      <c r="H183" s="545">
        <v>4259.9927551993997</v>
      </c>
    </row>
    <row r="184" spans="1:8" x14ac:dyDescent="0.35">
      <c r="A184" s="432" t="s">
        <v>142</v>
      </c>
      <c r="B184" s="50">
        <v>1</v>
      </c>
      <c r="C184" s="50" t="s">
        <v>38</v>
      </c>
      <c r="D184" s="429">
        <f t="shared" si="20"/>
        <v>411135.20473628526</v>
      </c>
      <c r="E184" s="545">
        <v>9.6337659735999992</v>
      </c>
      <c r="F184" s="545">
        <v>460.48135567659995</v>
      </c>
      <c r="G184" s="545">
        <v>3272.0900650586</v>
      </c>
      <c r="H184" s="545">
        <v>3732.5714207302999</v>
      </c>
    </row>
    <row r="185" spans="1:8" x14ac:dyDescent="0.35">
      <c r="A185" s="432" t="s">
        <v>142</v>
      </c>
      <c r="B185" s="50">
        <v>1</v>
      </c>
      <c r="C185" s="50" t="s">
        <v>37</v>
      </c>
      <c r="D185" s="429">
        <f t="shared" si="20"/>
        <v>433931.61200279137</v>
      </c>
      <c r="E185" s="545">
        <v>49.831648177799998</v>
      </c>
      <c r="F185" s="545">
        <v>1663.4824203466001</v>
      </c>
      <c r="G185" s="545">
        <v>4917.6195508400997</v>
      </c>
      <c r="H185" s="545">
        <v>6581.1019712090001</v>
      </c>
    </row>
    <row r="186" spans="1:8" x14ac:dyDescent="0.35">
      <c r="A186" s="432" t="s">
        <v>142</v>
      </c>
      <c r="B186" s="50">
        <v>1</v>
      </c>
      <c r="C186" s="50" t="s">
        <v>36</v>
      </c>
      <c r="D186" s="429">
        <f t="shared" si="20"/>
        <v>218465.56963735004</v>
      </c>
      <c r="E186" s="545">
        <v>149.85032153329996</v>
      </c>
      <c r="F186" s="545">
        <v>3492.2960745127002</v>
      </c>
      <c r="G186" s="545">
        <v>3181.8873043594999</v>
      </c>
      <c r="H186" s="545">
        <v>6674.183378924</v>
      </c>
    </row>
    <row r="187" spans="1:8" x14ac:dyDescent="0.35">
      <c r="A187" s="432" t="s">
        <v>142</v>
      </c>
      <c r="B187" s="50">
        <v>1</v>
      </c>
      <c r="C187" s="50" t="s">
        <v>35</v>
      </c>
      <c r="D187" s="429">
        <f t="shared" si="20"/>
        <v>124980.30299619566</v>
      </c>
      <c r="E187" s="545">
        <v>321.47395656409998</v>
      </c>
      <c r="F187" s="545">
        <v>4790.5866451485999</v>
      </c>
      <c r="G187" s="545">
        <v>1811.1246606955999</v>
      </c>
      <c r="H187" s="545">
        <v>6601.7113058621007</v>
      </c>
    </row>
    <row r="188" spans="1:8" x14ac:dyDescent="0.35">
      <c r="A188" s="432" t="s">
        <v>142</v>
      </c>
      <c r="B188" s="50">
        <v>1</v>
      </c>
      <c r="C188" s="50" t="s">
        <v>34</v>
      </c>
      <c r="D188" s="429">
        <f t="shared" si="20"/>
        <v>62890.088467685659</v>
      </c>
      <c r="E188" s="545">
        <v>828.38639607209996</v>
      </c>
      <c r="F188" s="545">
        <v>5409.2005979285996</v>
      </c>
      <c r="G188" s="545">
        <v>1179.7517943948001</v>
      </c>
      <c r="H188" s="545">
        <v>6588.9523923180004</v>
      </c>
    </row>
    <row r="189" spans="1:8" x14ac:dyDescent="0.35">
      <c r="A189" s="432" t="s">
        <v>142</v>
      </c>
      <c r="B189" s="50">
        <v>2</v>
      </c>
      <c r="C189" s="50" t="s">
        <v>2</v>
      </c>
      <c r="D189" s="429">
        <f t="shared" si="20"/>
        <v>151776.07995858003</v>
      </c>
      <c r="E189" s="545">
        <v>6.1016818494000002</v>
      </c>
      <c r="F189" s="545">
        <v>523.61469753860001</v>
      </c>
      <c r="G189" s="545">
        <v>86.665207507499986</v>
      </c>
      <c r="H189" s="545">
        <v>610.27990504399997</v>
      </c>
    </row>
    <row r="190" spans="1:8" x14ac:dyDescent="0.35">
      <c r="A190" s="432" t="s">
        <v>142</v>
      </c>
      <c r="B190" s="50">
        <v>2</v>
      </c>
      <c r="C190" s="50" t="s">
        <v>40</v>
      </c>
      <c r="D190" s="429">
        <f t="shared" si="20"/>
        <v>291054.12961754046</v>
      </c>
      <c r="E190" s="545">
        <v>1.4663087916999999</v>
      </c>
      <c r="F190" s="545">
        <v>110.9060333969</v>
      </c>
      <c r="G190" s="545">
        <v>2615.0642368759004</v>
      </c>
      <c r="H190" s="545">
        <v>2725.9702703404005</v>
      </c>
    </row>
    <row r="191" spans="1:8" x14ac:dyDescent="0.35">
      <c r="A191" s="432" t="s">
        <v>142</v>
      </c>
      <c r="B191" s="50">
        <v>2</v>
      </c>
      <c r="C191" s="50" t="s">
        <v>39</v>
      </c>
      <c r="D191" s="429">
        <f t="shared" si="20"/>
        <v>450129.05927109829</v>
      </c>
      <c r="E191" s="545">
        <v>5.747433075</v>
      </c>
      <c r="F191" s="545">
        <v>370.29189428379999</v>
      </c>
      <c r="G191" s="545">
        <v>4022.5046038707005</v>
      </c>
      <c r="H191" s="545">
        <v>4392.7964982195999</v>
      </c>
    </row>
    <row r="192" spans="1:8" x14ac:dyDescent="0.35">
      <c r="A192" s="432" t="s">
        <v>142</v>
      </c>
      <c r="B192" s="50">
        <v>2</v>
      </c>
      <c r="C192" s="50" t="s">
        <v>38</v>
      </c>
      <c r="D192" s="429">
        <f t="shared" si="20"/>
        <v>452828.63381581614</v>
      </c>
      <c r="E192" s="545">
        <v>10.985959038700001</v>
      </c>
      <c r="F192" s="545">
        <v>527.98081436329983</v>
      </c>
      <c r="G192" s="545">
        <v>4145.5202670642002</v>
      </c>
      <c r="H192" s="545">
        <v>4673.5010814206007</v>
      </c>
    </row>
    <row r="193" spans="1:8" x14ac:dyDescent="0.35">
      <c r="A193" s="432" t="s">
        <v>142</v>
      </c>
      <c r="B193" s="50">
        <v>2</v>
      </c>
      <c r="C193" s="50" t="s">
        <v>37</v>
      </c>
      <c r="D193" s="429">
        <f t="shared" si="20"/>
        <v>463426.96350989351</v>
      </c>
      <c r="E193" s="545">
        <v>60.399574306999995</v>
      </c>
      <c r="F193" s="545">
        <v>2027.2450399649001</v>
      </c>
      <c r="G193" s="545">
        <v>6017.7166492320011</v>
      </c>
      <c r="H193" s="545">
        <v>8044.9616893189987</v>
      </c>
    </row>
    <row r="194" spans="1:8" x14ac:dyDescent="0.35">
      <c r="A194" s="432" t="s">
        <v>142</v>
      </c>
      <c r="B194" s="50">
        <v>2</v>
      </c>
      <c r="C194" s="50" t="s">
        <v>36</v>
      </c>
      <c r="D194" s="429">
        <f t="shared" si="20"/>
        <v>228264.02539225176</v>
      </c>
      <c r="E194" s="545">
        <v>145.39090502989998</v>
      </c>
      <c r="F194" s="545">
        <v>3392.4713815811997</v>
      </c>
      <c r="G194" s="545">
        <v>3826.0151163787</v>
      </c>
      <c r="H194" s="545">
        <v>7218.4864979619997</v>
      </c>
    </row>
    <row r="195" spans="1:8" x14ac:dyDescent="0.35">
      <c r="A195" s="432" t="s">
        <v>142</v>
      </c>
      <c r="B195" s="50">
        <v>2</v>
      </c>
      <c r="C195" s="50" t="s">
        <v>35</v>
      </c>
      <c r="D195" s="429">
        <f t="shared" si="20"/>
        <v>138278.20723499087</v>
      </c>
      <c r="E195" s="545">
        <v>251.21188665920002</v>
      </c>
      <c r="F195" s="545">
        <v>3790.4087611331006</v>
      </c>
      <c r="G195" s="545">
        <v>2430.9387512614003</v>
      </c>
      <c r="H195" s="545">
        <v>6221.3475123553008</v>
      </c>
    </row>
    <row r="196" spans="1:8" x14ac:dyDescent="0.35">
      <c r="A196" s="432" t="s">
        <v>142</v>
      </c>
      <c r="B196" s="50">
        <v>2</v>
      </c>
      <c r="C196" s="50" t="s">
        <v>34</v>
      </c>
      <c r="D196" s="429">
        <f t="shared" si="20"/>
        <v>93885.203610742174</v>
      </c>
      <c r="E196" s="545">
        <v>816.3125727895</v>
      </c>
      <c r="F196" s="545">
        <v>4661.5208354334</v>
      </c>
      <c r="G196" s="545">
        <v>2202.8256607370004</v>
      </c>
      <c r="H196" s="545">
        <v>6864.3464962183989</v>
      </c>
    </row>
    <row r="197" spans="1:8" x14ac:dyDescent="0.35">
      <c r="D197" s="430">
        <f t="shared" ref="D197:H197" si="21">SUM(D181:D196)</f>
        <v>4441600</v>
      </c>
      <c r="E197" s="430">
        <f t="shared" si="21"/>
        <v>2671.2908274130996</v>
      </c>
      <c r="F197" s="430">
        <f t="shared" si="21"/>
        <v>32333.796574802796</v>
      </c>
      <c r="G197" s="430">
        <f t="shared" si="21"/>
        <v>46394.788986148502</v>
      </c>
      <c r="H197" s="430">
        <f t="shared" si="21"/>
        <v>78728.585561284606</v>
      </c>
    </row>
    <row r="198" spans="1:8" x14ac:dyDescent="0.35">
      <c r="A198" s="432" t="s">
        <v>150</v>
      </c>
      <c r="B198" s="50">
        <v>1</v>
      </c>
      <c r="C198" s="50" t="s">
        <v>2</v>
      </c>
      <c r="D198" s="429">
        <f>D181</f>
        <v>160174.75631992437</v>
      </c>
      <c r="E198" s="545">
        <v>6.0194639434999999</v>
      </c>
      <c r="F198" s="545">
        <v>508.63298200000003</v>
      </c>
      <c r="G198" s="545">
        <v>4.3809463207999997</v>
      </c>
      <c r="H198" s="545">
        <v>513.01392831999999</v>
      </c>
    </row>
    <row r="199" spans="1:8" x14ac:dyDescent="0.35">
      <c r="A199" s="432" t="s">
        <v>150</v>
      </c>
      <c r="B199" s="50">
        <v>1</v>
      </c>
      <c r="C199" s="50" t="s">
        <v>40</v>
      </c>
      <c r="D199" s="429">
        <f t="shared" ref="D199:D213" si="22">D182</f>
        <v>305751.81324989308</v>
      </c>
      <c r="E199" s="545">
        <v>8.1721949749</v>
      </c>
      <c r="F199" s="545">
        <v>618.89889737999999</v>
      </c>
      <c r="G199" s="545">
        <v>26.725412042800002</v>
      </c>
      <c r="H199" s="545">
        <v>645.62430942000003</v>
      </c>
    </row>
    <row r="200" spans="1:8" x14ac:dyDescent="0.35">
      <c r="A200" s="432" t="s">
        <v>150</v>
      </c>
      <c r="B200" s="50">
        <v>1</v>
      </c>
      <c r="C200" s="50" t="s">
        <v>39</v>
      </c>
      <c r="D200" s="429">
        <f t="shared" si="22"/>
        <v>454628.35017896135</v>
      </c>
      <c r="E200" s="545">
        <v>116.52662373599999</v>
      </c>
      <c r="F200" s="545">
        <v>7606.8751563999995</v>
      </c>
      <c r="G200" s="545">
        <v>365.208310633</v>
      </c>
      <c r="H200" s="545">
        <v>7972.0834669999995</v>
      </c>
    </row>
    <row r="201" spans="1:8" x14ac:dyDescent="0.35">
      <c r="A201" s="432" t="s">
        <v>150</v>
      </c>
      <c r="B201" s="50">
        <v>1</v>
      </c>
      <c r="C201" s="50" t="s">
        <v>38</v>
      </c>
      <c r="D201" s="429">
        <f t="shared" si="22"/>
        <v>411135.20473628526</v>
      </c>
      <c r="E201" s="545">
        <v>52.789907283000005</v>
      </c>
      <c r="F201" s="545">
        <v>2620.0953038799998</v>
      </c>
      <c r="G201" s="545">
        <v>565.42162387000008</v>
      </c>
      <c r="H201" s="545">
        <v>3185.5169277200002</v>
      </c>
    </row>
    <row r="202" spans="1:8" x14ac:dyDescent="0.35">
      <c r="A202" s="432" t="s">
        <v>150</v>
      </c>
      <c r="B202" s="50">
        <v>1</v>
      </c>
      <c r="C202" s="50" t="s">
        <v>37</v>
      </c>
      <c r="D202" s="429">
        <f t="shared" si="22"/>
        <v>433931.61200279137</v>
      </c>
      <c r="E202" s="545">
        <v>45.158554272000003</v>
      </c>
      <c r="F202" s="545">
        <v>1617.21051932</v>
      </c>
      <c r="G202" s="545">
        <v>818.23403407000012</v>
      </c>
      <c r="H202" s="545">
        <v>2435.4445533399999</v>
      </c>
    </row>
    <row r="203" spans="1:8" x14ac:dyDescent="0.35">
      <c r="A203" s="432" t="s">
        <v>150</v>
      </c>
      <c r="B203" s="50">
        <v>1</v>
      </c>
      <c r="C203" s="50" t="s">
        <v>36</v>
      </c>
      <c r="D203" s="429">
        <f t="shared" si="22"/>
        <v>218465.56963735004</v>
      </c>
      <c r="E203" s="545">
        <v>23.529754984</v>
      </c>
      <c r="F203" s="545">
        <v>562.43074445000002</v>
      </c>
      <c r="G203" s="545">
        <v>484.61217511999996</v>
      </c>
      <c r="H203" s="545">
        <v>1047.04291958</v>
      </c>
    </row>
    <row r="204" spans="1:8" x14ac:dyDescent="0.35">
      <c r="A204" s="432" t="s">
        <v>150</v>
      </c>
      <c r="B204" s="50">
        <v>1</v>
      </c>
      <c r="C204" s="50" t="s">
        <v>35</v>
      </c>
      <c r="D204" s="429">
        <f t="shared" si="22"/>
        <v>124980.30299619566</v>
      </c>
      <c r="E204" s="545">
        <v>18.321046887400001</v>
      </c>
      <c r="F204" s="545">
        <v>280.61646425999999</v>
      </c>
      <c r="G204" s="545">
        <v>269.31732597999996</v>
      </c>
      <c r="H204" s="545">
        <v>549.93379023</v>
      </c>
    </row>
    <row r="205" spans="1:8" x14ac:dyDescent="0.35">
      <c r="A205" s="432" t="s">
        <v>150</v>
      </c>
      <c r="B205" s="50">
        <v>1</v>
      </c>
      <c r="C205" s="50" t="s">
        <v>34</v>
      </c>
      <c r="D205" s="429">
        <f t="shared" si="22"/>
        <v>62890.088467685659</v>
      </c>
      <c r="E205" s="545">
        <v>20.298827258999999</v>
      </c>
      <c r="F205" s="545">
        <v>132.54735841999999</v>
      </c>
      <c r="G205" s="545">
        <v>202.27031683999999</v>
      </c>
      <c r="H205" s="545">
        <v>334.81767524999998</v>
      </c>
    </row>
    <row r="206" spans="1:8" x14ac:dyDescent="0.35">
      <c r="A206" s="432" t="s">
        <v>150</v>
      </c>
      <c r="B206" s="50">
        <v>2</v>
      </c>
      <c r="C206" s="50" t="s">
        <v>2</v>
      </c>
      <c r="D206" s="429">
        <f t="shared" si="22"/>
        <v>151776.07995858003</v>
      </c>
      <c r="E206" s="545">
        <v>5.1037771679999997</v>
      </c>
      <c r="F206" s="545">
        <v>431.78745380999999</v>
      </c>
      <c r="G206" s="545">
        <v>3.1672124466999998</v>
      </c>
      <c r="H206" s="545">
        <v>434.95466626000001</v>
      </c>
    </row>
    <row r="207" spans="1:8" x14ac:dyDescent="0.35">
      <c r="A207" s="432" t="s">
        <v>150</v>
      </c>
      <c r="B207" s="50">
        <v>2</v>
      </c>
      <c r="C207" s="50" t="s">
        <v>40</v>
      </c>
      <c r="D207" s="429">
        <f t="shared" si="22"/>
        <v>291054.12961754046</v>
      </c>
      <c r="E207" s="545">
        <v>5.8443921473999998</v>
      </c>
      <c r="F207" s="545">
        <v>446.01685635000001</v>
      </c>
      <c r="G207" s="545">
        <v>17.959241947300001</v>
      </c>
      <c r="H207" s="545">
        <v>463.97609829999999</v>
      </c>
    </row>
    <row r="208" spans="1:8" x14ac:dyDescent="0.35">
      <c r="A208" s="432" t="s">
        <v>150</v>
      </c>
      <c r="B208" s="50">
        <v>2</v>
      </c>
      <c r="C208" s="50" t="s">
        <v>39</v>
      </c>
      <c r="D208" s="429">
        <f t="shared" si="22"/>
        <v>450129.05927109829</v>
      </c>
      <c r="E208" s="545">
        <v>42.307174779100002</v>
      </c>
      <c r="F208" s="545">
        <v>2779.7913097700002</v>
      </c>
      <c r="G208" s="545">
        <v>162.99312897499999</v>
      </c>
      <c r="H208" s="545">
        <v>2942.7844387100004</v>
      </c>
    </row>
    <row r="209" spans="1:8" x14ac:dyDescent="0.35">
      <c r="A209" s="432" t="s">
        <v>150</v>
      </c>
      <c r="B209" s="50">
        <v>2</v>
      </c>
      <c r="C209" s="50" t="s">
        <v>38</v>
      </c>
      <c r="D209" s="429">
        <f t="shared" si="22"/>
        <v>452828.63381581614</v>
      </c>
      <c r="E209" s="545">
        <v>19.606155329</v>
      </c>
      <c r="F209" s="545">
        <v>965.96024880000004</v>
      </c>
      <c r="G209" s="545">
        <v>260.55058819300001</v>
      </c>
      <c r="H209" s="545">
        <v>1226.510837</v>
      </c>
    </row>
    <row r="210" spans="1:8" x14ac:dyDescent="0.35">
      <c r="A210" s="432" t="s">
        <v>150</v>
      </c>
      <c r="B210" s="50">
        <v>2</v>
      </c>
      <c r="C210" s="50" t="s">
        <v>37</v>
      </c>
      <c r="D210" s="429">
        <f t="shared" si="22"/>
        <v>463426.96350989351</v>
      </c>
      <c r="E210" s="545">
        <v>23.0399109946</v>
      </c>
      <c r="F210" s="545">
        <v>815.58454812000002</v>
      </c>
      <c r="G210" s="545">
        <v>380.48654751999999</v>
      </c>
      <c r="H210" s="545">
        <v>1196.0710956399998</v>
      </c>
    </row>
    <row r="211" spans="1:8" x14ac:dyDescent="0.35">
      <c r="A211" s="432" t="s">
        <v>150</v>
      </c>
      <c r="B211" s="50">
        <v>2</v>
      </c>
      <c r="C211" s="50" t="s">
        <v>36</v>
      </c>
      <c r="D211" s="429">
        <f t="shared" si="22"/>
        <v>228264.02539225176</v>
      </c>
      <c r="E211" s="545">
        <v>16.060128443300002</v>
      </c>
      <c r="F211" s="545">
        <v>383.16562125999997</v>
      </c>
      <c r="G211" s="545">
        <v>245.98650523999999</v>
      </c>
      <c r="H211" s="545">
        <v>629.15212651000002</v>
      </c>
    </row>
    <row r="212" spans="1:8" x14ac:dyDescent="0.35">
      <c r="A212" s="432" t="s">
        <v>150</v>
      </c>
      <c r="B212" s="50">
        <v>2</v>
      </c>
      <c r="C212" s="50" t="s">
        <v>35</v>
      </c>
      <c r="D212" s="429">
        <f t="shared" si="22"/>
        <v>138278.20723499087</v>
      </c>
      <c r="E212" s="545">
        <v>13.128228034199999</v>
      </c>
      <c r="F212" s="545">
        <v>199.69516768699998</v>
      </c>
      <c r="G212" s="545">
        <v>161.93880747200001</v>
      </c>
      <c r="H212" s="545">
        <v>361.63397515999998</v>
      </c>
    </row>
    <row r="213" spans="1:8" x14ac:dyDescent="0.35">
      <c r="A213" s="432" t="s">
        <v>150</v>
      </c>
      <c r="B213" s="50">
        <v>2</v>
      </c>
      <c r="C213" s="50" t="s">
        <v>34</v>
      </c>
      <c r="D213" s="429">
        <f t="shared" si="22"/>
        <v>93885.203610742174</v>
      </c>
      <c r="E213" s="545">
        <v>18.755526200999999</v>
      </c>
      <c r="F213" s="545">
        <v>107.10269458</v>
      </c>
      <c r="G213" s="545">
        <v>164.89727042000001</v>
      </c>
      <c r="H213" s="545">
        <v>271.99996500999998</v>
      </c>
    </row>
    <row r="214" spans="1:8" x14ac:dyDescent="0.35">
      <c r="D214" s="430">
        <f t="shared" ref="D214:H214" si="23">SUM(D198:D213)</f>
        <v>4441600</v>
      </c>
      <c r="E214" s="430">
        <f t="shared" si="23"/>
        <v>434.66166643640008</v>
      </c>
      <c r="F214" s="430">
        <f t="shared" si="23"/>
        <v>20076.411326486999</v>
      </c>
      <c r="G214" s="430">
        <f t="shared" si="23"/>
        <v>4134.1494470905991</v>
      </c>
      <c r="H214" s="430">
        <f t="shared" si="23"/>
        <v>24210.560773450004</v>
      </c>
    </row>
    <row r="215" spans="1:8" x14ac:dyDescent="0.35">
      <c r="A215" s="432" t="s">
        <v>162</v>
      </c>
      <c r="E215" s="429">
        <f>E214+E197+E179+E161+E157+E138+E121+E104+E87+E70+E53+E36+E19</f>
        <v>22488.567049500096</v>
      </c>
      <c r="F215" s="429">
        <f>F214+F197+F179+F161+F157+F138+F121+F104+F87+F70+F53+F36+F19</f>
        <v>300383.3778070081</v>
      </c>
      <c r="G215" s="429">
        <f>G214+G197+G179+G161+G157+G138+G121+G104+G87+G70+G53+G36+G19</f>
        <v>139619.69776642133</v>
      </c>
      <c r="H215" s="429">
        <f>H214+H197+H179+H161+H157+H138+H121+H104+H87+H70+H53+H36+H19</f>
        <v>440003.0754746485</v>
      </c>
    </row>
    <row r="216" spans="1:8" s="545" customFormat="1" ht="12.5" x14ac:dyDescent="0.25">
      <c r="A216" s="545" t="s">
        <v>120</v>
      </c>
      <c r="B216" s="545">
        <v>0</v>
      </c>
      <c r="C216" s="545">
        <v>0</v>
      </c>
      <c r="D216" s="545">
        <f>D214</f>
        <v>4441600</v>
      </c>
      <c r="E216" s="545">
        <f>E236</f>
        <v>33247.731489785001</v>
      </c>
      <c r="F216" s="545">
        <f>F236</f>
        <v>523926.0094865</v>
      </c>
      <c r="G216" s="545">
        <f>G236</f>
        <v>568707.81569600001</v>
      </c>
      <c r="H216" s="545">
        <f>H236</f>
        <v>1092633.8251843001</v>
      </c>
    </row>
    <row r="217" spans="1:8" s="545" customFormat="1" ht="12.5" x14ac:dyDescent="0.25">
      <c r="A217" s="545" t="s">
        <v>163</v>
      </c>
      <c r="E217" s="240">
        <f>E215/E216</f>
        <v>0.67639402875981058</v>
      </c>
      <c r="F217" s="240">
        <f t="shared" ref="F217:H217" si="24">F215/F216</f>
        <v>0.57333167731339374</v>
      </c>
      <c r="G217" s="240">
        <f t="shared" si="24"/>
        <v>0.24550339192288217</v>
      </c>
      <c r="H217" s="240">
        <f t="shared" si="24"/>
        <v>0.40269948205239842</v>
      </c>
    </row>
    <row r="218" spans="1:8" s="545" customFormat="1" ht="12.5" x14ac:dyDescent="0.25">
      <c r="A218" s="545" t="s">
        <v>152</v>
      </c>
    </row>
    <row r="219" spans="1:8" s="545" customFormat="1" ht="12.5" x14ac:dyDescent="0.25">
      <c r="A219" s="545" t="s">
        <v>67</v>
      </c>
      <c r="B219" s="545" t="s">
        <v>66</v>
      </c>
      <c r="D219" s="545" t="s">
        <v>65</v>
      </c>
      <c r="E219" s="545" t="s">
        <v>275</v>
      </c>
      <c r="F219" s="545" t="s">
        <v>64</v>
      </c>
      <c r="G219" s="545" t="s">
        <v>63</v>
      </c>
      <c r="H219" s="545" t="s">
        <v>62</v>
      </c>
    </row>
    <row r="220" spans="1:8" s="545" customFormat="1" ht="12.5" x14ac:dyDescent="0.25">
      <c r="A220" s="545">
        <v>1</v>
      </c>
      <c r="B220" s="545">
        <v>0</v>
      </c>
      <c r="D220" s="545">
        <f>D198</f>
        <v>160174.75631992437</v>
      </c>
      <c r="E220" s="545">
        <v>195.57004373999999</v>
      </c>
      <c r="F220" s="545">
        <v>16815.509139999998</v>
      </c>
      <c r="G220" s="545">
        <v>2783.13283</v>
      </c>
      <c r="H220" s="545">
        <v>19598.641970000001</v>
      </c>
    </row>
    <row r="221" spans="1:8" s="545" customFormat="1" ht="12.5" x14ac:dyDescent="0.25">
      <c r="A221" s="545">
        <v>2</v>
      </c>
      <c r="B221" s="545">
        <v>0</v>
      </c>
      <c r="D221" s="545">
        <f>D206</f>
        <v>151776.07995858003</v>
      </c>
      <c r="E221" s="545">
        <v>152.32659214</v>
      </c>
      <c r="F221" s="545">
        <v>13100.683738</v>
      </c>
      <c r="G221" s="545">
        <v>2426.0525418000002</v>
      </c>
      <c r="H221" s="545">
        <v>15526.736279000001</v>
      </c>
    </row>
    <row r="222" spans="1:8" s="545" customFormat="1" ht="12.5" x14ac:dyDescent="0.25">
      <c r="A222" s="545">
        <v>1</v>
      </c>
      <c r="B222" s="545">
        <v>5</v>
      </c>
      <c r="D222" s="545">
        <f>D199</f>
        <v>305751.81324989308</v>
      </c>
      <c r="E222" s="545">
        <v>40.664657341999998</v>
      </c>
      <c r="F222" s="545">
        <v>3082.0807759999998</v>
      </c>
      <c r="G222" s="545">
        <v>16539.9117845</v>
      </c>
      <c r="H222" s="545">
        <v>19621.992560499999</v>
      </c>
    </row>
    <row r="223" spans="1:8" s="545" customFormat="1" ht="12.5" x14ac:dyDescent="0.25">
      <c r="A223" s="545">
        <v>2</v>
      </c>
      <c r="B223" s="545">
        <v>5</v>
      </c>
      <c r="D223" s="545">
        <f>D207</f>
        <v>291054.12961754046</v>
      </c>
      <c r="E223" s="545">
        <v>30.099182906999999</v>
      </c>
      <c r="F223" s="545">
        <v>2295.5827506999999</v>
      </c>
      <c r="G223" s="545">
        <v>15872.4886057</v>
      </c>
      <c r="H223" s="545">
        <v>18168.071355799999</v>
      </c>
    </row>
    <row r="224" spans="1:8" s="545" customFormat="1" ht="12.5" x14ac:dyDescent="0.25">
      <c r="A224" s="545">
        <v>1</v>
      </c>
      <c r="B224" s="545">
        <v>15</v>
      </c>
      <c r="D224" s="545">
        <f>D200</f>
        <v>454628.35017896135</v>
      </c>
      <c r="E224" s="545">
        <v>407.59720990000005</v>
      </c>
      <c r="F224" s="545">
        <v>26229.8877178</v>
      </c>
      <c r="G224" s="545">
        <v>44163.062545000001</v>
      </c>
      <c r="H224" s="545">
        <v>70392.950263999999</v>
      </c>
    </row>
    <row r="225" spans="1:8" s="545" customFormat="1" ht="12.5" x14ac:dyDescent="0.25">
      <c r="A225" s="545">
        <v>2</v>
      </c>
      <c r="B225" s="545">
        <v>15</v>
      </c>
      <c r="D225" s="545">
        <f>D208</f>
        <v>450129.05927109829</v>
      </c>
      <c r="E225" s="545">
        <v>168.031219513</v>
      </c>
      <c r="F225" s="545">
        <v>10831.4064382</v>
      </c>
      <c r="G225" s="545">
        <v>49441.226736999997</v>
      </c>
      <c r="H225" s="545">
        <v>60272.633174999995</v>
      </c>
    </row>
    <row r="226" spans="1:8" s="545" customFormat="1" ht="12.5" x14ac:dyDescent="0.25">
      <c r="A226" s="545">
        <v>1</v>
      </c>
      <c r="B226" s="545">
        <v>30</v>
      </c>
      <c r="D226" s="545">
        <f>D201</f>
        <v>411135.20473628526</v>
      </c>
      <c r="E226" s="545">
        <v>501.27934661</v>
      </c>
      <c r="F226" s="545">
        <v>24304.385042599999</v>
      </c>
      <c r="G226" s="545">
        <v>45041.992266000001</v>
      </c>
      <c r="H226" s="545">
        <v>69346.377309000003</v>
      </c>
    </row>
    <row r="227" spans="1:8" s="545" customFormat="1" ht="12.5" x14ac:dyDescent="0.25">
      <c r="A227" s="545">
        <v>2</v>
      </c>
      <c r="B227" s="545">
        <v>30</v>
      </c>
      <c r="D227" s="545">
        <f>D209</f>
        <v>452828.63381581614</v>
      </c>
      <c r="E227" s="545">
        <v>333.272186353</v>
      </c>
      <c r="F227" s="545">
        <v>15990.521802200001</v>
      </c>
      <c r="G227" s="545">
        <v>57774.784924</v>
      </c>
      <c r="H227" s="545">
        <v>73765.306725999995</v>
      </c>
    </row>
    <row r="228" spans="1:8" s="545" customFormat="1" ht="12.5" x14ac:dyDescent="0.25">
      <c r="A228" s="545">
        <v>1</v>
      </c>
      <c r="B228" s="545">
        <v>45</v>
      </c>
      <c r="D228" s="545">
        <f>D202</f>
        <v>433931.61200279137</v>
      </c>
      <c r="E228" s="545">
        <v>1648.0748403100001</v>
      </c>
      <c r="F228" s="545">
        <v>56345.941068</v>
      </c>
      <c r="G228" s="545">
        <v>61567.683676000001</v>
      </c>
      <c r="H228" s="545">
        <v>117913.62474299999</v>
      </c>
    </row>
    <row r="229" spans="1:8" s="545" customFormat="1" ht="12.5" x14ac:dyDescent="0.25">
      <c r="A229" s="545">
        <v>2</v>
      </c>
      <c r="B229" s="545">
        <v>45</v>
      </c>
      <c r="D229" s="545">
        <f>D210</f>
        <v>463426.96350989351</v>
      </c>
      <c r="E229" s="545">
        <v>1217.94758419</v>
      </c>
      <c r="F229" s="545">
        <v>41760.463131999997</v>
      </c>
      <c r="G229" s="545">
        <v>71855.202153999999</v>
      </c>
      <c r="H229" s="545">
        <v>113615.665286</v>
      </c>
    </row>
    <row r="230" spans="1:8" s="545" customFormat="1" ht="12.5" x14ac:dyDescent="0.25">
      <c r="A230" s="545">
        <v>1</v>
      </c>
      <c r="B230" s="545">
        <v>60</v>
      </c>
      <c r="D230" s="545">
        <f>D203</f>
        <v>218465.56963735004</v>
      </c>
      <c r="E230" s="545">
        <v>2711.5586870999996</v>
      </c>
      <c r="F230" s="545">
        <v>63812.517489000005</v>
      </c>
      <c r="G230" s="545">
        <v>42074.741171000001</v>
      </c>
      <c r="H230" s="545">
        <v>105887.258661</v>
      </c>
    </row>
    <row r="231" spans="1:8" s="545" customFormat="1" ht="12.5" x14ac:dyDescent="0.25">
      <c r="A231" s="545">
        <v>2</v>
      </c>
      <c r="B231" s="545">
        <v>60</v>
      </c>
      <c r="D231" s="545">
        <f>D211</f>
        <v>228264.02539225176</v>
      </c>
      <c r="E231" s="545">
        <v>1878.33671028</v>
      </c>
      <c r="F231" s="545">
        <v>44239.385599000001</v>
      </c>
      <c r="G231" s="545">
        <v>43820.115696000001</v>
      </c>
      <c r="H231" s="545">
        <v>88059.501293000008</v>
      </c>
    </row>
    <row r="232" spans="1:8" s="545" customFormat="1" ht="12.5" x14ac:dyDescent="0.25">
      <c r="A232" s="545">
        <v>1</v>
      </c>
      <c r="B232" s="545">
        <v>70</v>
      </c>
      <c r="D232" s="545">
        <f>D204</f>
        <v>124980.30299619566</v>
      </c>
      <c r="E232" s="545">
        <v>3857.7022080000002</v>
      </c>
      <c r="F232" s="545">
        <v>58134.662710999997</v>
      </c>
      <c r="G232" s="545">
        <v>27870.553616999998</v>
      </c>
      <c r="H232" s="545">
        <v>86005.216329000003</v>
      </c>
    </row>
    <row r="233" spans="1:8" s="545" customFormat="1" ht="12.5" x14ac:dyDescent="0.25">
      <c r="A233" s="545">
        <v>2</v>
      </c>
      <c r="B233" s="545">
        <v>70</v>
      </c>
      <c r="D233" s="545">
        <f>D212</f>
        <v>138278.20723499087</v>
      </c>
      <c r="E233" s="545">
        <v>2780.5748294999999</v>
      </c>
      <c r="F233" s="545">
        <v>41680.434068000002</v>
      </c>
      <c r="G233" s="545">
        <v>30043.925954999999</v>
      </c>
      <c r="H233" s="545">
        <v>71724.360025000002</v>
      </c>
    </row>
    <row r="234" spans="1:8" s="545" customFormat="1" ht="12.5" x14ac:dyDescent="0.25">
      <c r="A234" s="545">
        <v>1</v>
      </c>
      <c r="B234" s="545">
        <v>80</v>
      </c>
      <c r="D234" s="545">
        <f>D205</f>
        <v>62890.088467685659</v>
      </c>
      <c r="E234" s="545">
        <v>7775.1945331999996</v>
      </c>
      <c r="F234" s="545">
        <v>50770.494442000003</v>
      </c>
      <c r="G234" s="545">
        <v>23401.635118999999</v>
      </c>
      <c r="H234" s="545">
        <v>74172.129562000002</v>
      </c>
    </row>
    <row r="235" spans="1:8" s="545" customFormat="1" ht="12.5" x14ac:dyDescent="0.25">
      <c r="A235" s="545">
        <v>2</v>
      </c>
      <c r="B235" s="545">
        <v>80</v>
      </c>
      <c r="D235" s="545">
        <f>D213</f>
        <v>93885.203610742174</v>
      </c>
      <c r="E235" s="545">
        <v>9549.5016586999991</v>
      </c>
      <c r="F235" s="545">
        <v>54532.053571999997</v>
      </c>
      <c r="G235" s="545">
        <v>34031.306074</v>
      </c>
      <c r="H235" s="545">
        <v>88563.359645999997</v>
      </c>
    </row>
    <row r="236" spans="1:8" s="545" customFormat="1" ht="12.5" x14ac:dyDescent="0.25">
      <c r="D236" s="545">
        <f t="shared" ref="D236:H236" si="25">SUM(D220:D235)</f>
        <v>4441600.0000000009</v>
      </c>
      <c r="E236" s="545">
        <f t="shared" si="25"/>
        <v>33247.731489785001</v>
      </c>
      <c r="F236" s="545">
        <f t="shared" si="25"/>
        <v>523926.0094865</v>
      </c>
      <c r="G236" s="545">
        <f t="shared" si="25"/>
        <v>568707.81569600001</v>
      </c>
      <c r="H236" s="545">
        <f t="shared" si="25"/>
        <v>1092633.8251843001</v>
      </c>
    </row>
    <row r="241" spans="9:9" s="10" customFormat="1" x14ac:dyDescent="0.35">
      <c r="I241" s="545"/>
    </row>
    <row r="242" spans="9:9" s="10" customFormat="1" x14ac:dyDescent="0.35">
      <c r="I242" s="545"/>
    </row>
    <row r="243" spans="9:9" s="10" customFormat="1" x14ac:dyDescent="0.35">
      <c r="I243" s="545"/>
    </row>
    <row r="244" spans="9:9" s="10" customFormat="1" x14ac:dyDescent="0.35">
      <c r="I244" s="545"/>
    </row>
    <row r="245" spans="9:9" s="10" customFormat="1" x14ac:dyDescent="0.35">
      <c r="I245" s="545"/>
    </row>
    <row r="246" spans="9:9" s="10" customFormat="1" x14ac:dyDescent="0.35">
      <c r="I246" s="545"/>
    </row>
    <row r="247" spans="9:9" s="10" customFormat="1" x14ac:dyDescent="0.35">
      <c r="I247" s="545"/>
    </row>
    <row r="248" spans="9:9" s="10" customFormat="1" x14ac:dyDescent="0.35">
      <c r="I248" s="545"/>
    </row>
    <row r="249" spans="9:9" s="10" customFormat="1" x14ac:dyDescent="0.35">
      <c r="I249" s="545"/>
    </row>
    <row r="250" spans="9:9" s="10" customFormat="1" x14ac:dyDescent="0.35">
      <c r="I250" s="545"/>
    </row>
    <row r="251" spans="9:9" s="10" customFormat="1" x14ac:dyDescent="0.35">
      <c r="I251" s="545"/>
    </row>
    <row r="252" spans="9:9" s="10" customFormat="1" x14ac:dyDescent="0.35">
      <c r="I252" s="545"/>
    </row>
    <row r="253" spans="9:9" s="10" customFormat="1" x14ac:dyDescent="0.35">
      <c r="I253" s="545"/>
    </row>
    <row r="254" spans="9:9" s="10" customFormat="1" x14ac:dyDescent="0.35">
      <c r="I254" s="545"/>
    </row>
    <row r="255" spans="9:9" s="10" customFormat="1" x14ac:dyDescent="0.35">
      <c r="I255" s="545"/>
    </row>
    <row r="256" spans="9:9" s="10" customFormat="1" x14ac:dyDescent="0.35">
      <c r="I256" s="545"/>
    </row>
    <row r="257" spans="9:9" s="10" customFormat="1" x14ac:dyDescent="0.35">
      <c r="I257" s="545"/>
    </row>
    <row r="258" spans="9:9" s="10" customFormat="1" x14ac:dyDescent="0.35">
      <c r="I258" s="545"/>
    </row>
    <row r="259" spans="9:9" s="10" customFormat="1" x14ac:dyDescent="0.35">
      <c r="I259" s="545"/>
    </row>
    <row r="260" spans="9:9" s="10" customFormat="1" x14ac:dyDescent="0.35">
      <c r="I260" s="545"/>
    </row>
    <row r="261" spans="9:9" s="10" customFormat="1" x14ac:dyDescent="0.35">
      <c r="I261" s="545"/>
    </row>
    <row r="262" spans="9:9" s="10" customFormat="1" x14ac:dyDescent="0.35">
      <c r="I262" s="545"/>
    </row>
    <row r="263" spans="9:9" s="10" customFormat="1" x14ac:dyDescent="0.35">
      <c r="I263" s="545"/>
    </row>
    <row r="264" spans="9:9" s="10" customFormat="1" x14ac:dyDescent="0.35">
      <c r="I264" s="545"/>
    </row>
    <row r="265" spans="9:9" s="10" customFormat="1" x14ac:dyDescent="0.35">
      <c r="I265" s="545"/>
    </row>
    <row r="266" spans="9:9" s="10" customFormat="1" x14ac:dyDescent="0.35">
      <c r="I266" s="545"/>
    </row>
    <row r="267" spans="9:9" s="10" customFormat="1" x14ac:dyDescent="0.35">
      <c r="I267" s="545"/>
    </row>
    <row r="268" spans="9:9" s="10" customFormat="1" x14ac:dyDescent="0.35">
      <c r="I268" s="545"/>
    </row>
    <row r="269" spans="9:9" s="10" customFormat="1" x14ac:dyDescent="0.35">
      <c r="I269" s="545"/>
    </row>
    <row r="270" spans="9:9" s="10" customFormat="1" x14ac:dyDescent="0.35">
      <c r="I270" s="545"/>
    </row>
    <row r="271" spans="9:9" s="10" customFormat="1" x14ac:dyDescent="0.35">
      <c r="I271" s="545"/>
    </row>
    <row r="272" spans="9:9" s="10" customFormat="1" x14ac:dyDescent="0.35">
      <c r="I272" s="545"/>
    </row>
    <row r="273" spans="9:9" s="10" customFormat="1" x14ac:dyDescent="0.35">
      <c r="I273" s="545"/>
    </row>
    <row r="274" spans="9:9" s="10" customFormat="1" x14ac:dyDescent="0.35">
      <c r="I274" s="545"/>
    </row>
    <row r="275" spans="9:9" s="10" customFormat="1" x14ac:dyDescent="0.35">
      <c r="I275" s="545"/>
    </row>
    <row r="276" spans="9:9" s="10" customFormat="1" x14ac:dyDescent="0.35">
      <c r="I276" s="545"/>
    </row>
    <row r="277" spans="9:9" s="10" customFormat="1" x14ac:dyDescent="0.35">
      <c r="I277" s="545"/>
    </row>
    <row r="278" spans="9:9" s="10" customFormat="1" x14ac:dyDescent="0.35">
      <c r="I278" s="545"/>
    </row>
    <row r="279" spans="9:9" s="10" customFormat="1" x14ac:dyDescent="0.35">
      <c r="I279" s="545"/>
    </row>
    <row r="280" spans="9:9" s="10" customFormat="1" x14ac:dyDescent="0.35">
      <c r="I280" s="545"/>
    </row>
    <row r="281" spans="9:9" s="10" customFormat="1" x14ac:dyDescent="0.35">
      <c r="I281" s="545"/>
    </row>
    <row r="282" spans="9:9" s="10" customFormat="1" x14ac:dyDescent="0.35">
      <c r="I282" s="545"/>
    </row>
    <row r="283" spans="9:9" s="10" customFormat="1" x14ac:dyDescent="0.35">
      <c r="I283" s="545"/>
    </row>
    <row r="284" spans="9:9" s="10" customFormat="1" x14ac:dyDescent="0.35">
      <c r="I284" s="545"/>
    </row>
    <row r="285" spans="9:9" s="10" customFormat="1" x14ac:dyDescent="0.35">
      <c r="I285" s="545"/>
    </row>
    <row r="286" spans="9:9" s="10" customFormat="1" x14ac:dyDescent="0.35">
      <c r="I286" s="545"/>
    </row>
    <row r="287" spans="9:9" s="10" customFormat="1" x14ac:dyDescent="0.35">
      <c r="I287" s="545"/>
    </row>
    <row r="288" spans="9:9" s="10" customFormat="1" x14ac:dyDescent="0.35">
      <c r="I288" s="545"/>
    </row>
    <row r="289" spans="9:9" s="10" customFormat="1" x14ac:dyDescent="0.35">
      <c r="I289" s="545"/>
    </row>
    <row r="290" spans="9:9" s="10" customFormat="1" x14ac:dyDescent="0.35">
      <c r="I290" s="545"/>
    </row>
    <row r="291" spans="9:9" s="10" customFormat="1" x14ac:dyDescent="0.35">
      <c r="I291" s="545"/>
    </row>
    <row r="292" spans="9:9" s="10" customFormat="1" x14ac:dyDescent="0.35">
      <c r="I292" s="545"/>
    </row>
    <row r="293" spans="9:9" s="10" customFormat="1" x14ac:dyDescent="0.35">
      <c r="I293" s="545"/>
    </row>
    <row r="294" spans="9:9" s="10" customFormat="1" x14ac:dyDescent="0.35">
      <c r="I294" s="545"/>
    </row>
    <row r="295" spans="9:9" s="10" customFormat="1" x14ac:dyDescent="0.35">
      <c r="I295" s="545"/>
    </row>
    <row r="296" spans="9:9" s="10" customFormat="1" x14ac:dyDescent="0.35">
      <c r="I296" s="545"/>
    </row>
    <row r="297" spans="9:9" s="10" customFormat="1" x14ac:dyDescent="0.35">
      <c r="I297" s="545"/>
    </row>
    <row r="298" spans="9:9" s="10" customFormat="1" x14ac:dyDescent="0.35">
      <c r="I298" s="545"/>
    </row>
    <row r="299" spans="9:9" s="10" customFormat="1" x14ac:dyDescent="0.35">
      <c r="I299" s="545"/>
    </row>
    <row r="300" spans="9:9" s="10" customFormat="1" x14ac:dyDescent="0.35">
      <c r="I300" s="545"/>
    </row>
    <row r="301" spans="9:9" s="10" customFormat="1" x14ac:dyDescent="0.35">
      <c r="I301" s="545"/>
    </row>
    <row r="302" spans="9:9" s="10" customFormat="1" x14ac:dyDescent="0.35">
      <c r="I302" s="545"/>
    </row>
    <row r="303" spans="9:9" s="10" customFormat="1" x14ac:dyDescent="0.35">
      <c r="I303" s="545"/>
    </row>
    <row r="304" spans="9:9" s="10" customFormat="1" x14ac:dyDescent="0.35">
      <c r="I304" s="545"/>
    </row>
    <row r="305" spans="9:9" s="10" customFormat="1" x14ac:dyDescent="0.35">
      <c r="I305" s="545"/>
    </row>
    <row r="306" spans="9:9" s="10" customFormat="1" x14ac:dyDescent="0.35">
      <c r="I306" s="545"/>
    </row>
    <row r="307" spans="9:9" s="10" customFormat="1" x14ac:dyDescent="0.35">
      <c r="I307" s="545"/>
    </row>
    <row r="308" spans="9:9" s="10" customFormat="1" x14ac:dyDescent="0.35">
      <c r="I308" s="545"/>
    </row>
    <row r="309" spans="9:9" s="10" customFormat="1" x14ac:dyDescent="0.35">
      <c r="I309" s="545"/>
    </row>
    <row r="310" spans="9:9" s="10" customFormat="1" x14ac:dyDescent="0.35">
      <c r="I310" s="545"/>
    </row>
    <row r="311" spans="9:9" s="10" customFormat="1" x14ac:dyDescent="0.35">
      <c r="I311" s="545"/>
    </row>
    <row r="312" spans="9:9" s="10" customFormat="1" x14ac:dyDescent="0.35">
      <c r="I312" s="545"/>
    </row>
    <row r="313" spans="9:9" s="10" customFormat="1" x14ac:dyDescent="0.35">
      <c r="I313" s="545"/>
    </row>
    <row r="314" spans="9:9" s="10" customFormat="1" x14ac:dyDescent="0.35">
      <c r="I314" s="545"/>
    </row>
    <row r="315" spans="9:9" s="10" customFormat="1" x14ac:dyDescent="0.35">
      <c r="I315" s="545"/>
    </row>
    <row r="316" spans="9:9" s="10" customFormat="1" x14ac:dyDescent="0.35">
      <c r="I316" s="545"/>
    </row>
    <row r="317" spans="9:9" s="10" customFormat="1" x14ac:dyDescent="0.35">
      <c r="I317" s="545"/>
    </row>
    <row r="318" spans="9:9" s="10" customFormat="1" x14ac:dyDescent="0.35">
      <c r="I318" s="545"/>
    </row>
    <row r="319" spans="9:9" s="10" customFormat="1" x14ac:dyDescent="0.35">
      <c r="I319" s="545"/>
    </row>
    <row r="320" spans="9:9" s="10" customFormat="1" x14ac:dyDescent="0.35">
      <c r="I320" s="545"/>
    </row>
    <row r="321" spans="9:9" s="10" customFormat="1" x14ac:dyDescent="0.35">
      <c r="I321" s="545"/>
    </row>
    <row r="322" spans="9:9" s="10" customFormat="1" x14ac:dyDescent="0.35">
      <c r="I322" s="545"/>
    </row>
    <row r="323" spans="9:9" s="10" customFormat="1" x14ac:dyDescent="0.35">
      <c r="I323" s="545"/>
    </row>
    <row r="324" spans="9:9" s="10" customFormat="1" x14ac:dyDescent="0.35">
      <c r="I324" s="545"/>
    </row>
    <row r="325" spans="9:9" s="10" customFormat="1" x14ac:dyDescent="0.35">
      <c r="I325" s="545"/>
    </row>
    <row r="326" spans="9:9" s="10" customFormat="1" x14ac:dyDescent="0.35">
      <c r="I326" s="545"/>
    </row>
    <row r="327" spans="9:9" s="10" customFormat="1" x14ac:dyDescent="0.35">
      <c r="I327" s="545"/>
    </row>
    <row r="328" spans="9:9" s="10" customFormat="1" x14ac:dyDescent="0.35">
      <c r="I328" s="545"/>
    </row>
    <row r="329" spans="9:9" s="10" customFormat="1" x14ac:dyDescent="0.35">
      <c r="I329" s="545"/>
    </row>
    <row r="330" spans="9:9" s="10" customFormat="1" x14ac:dyDescent="0.35">
      <c r="I330" s="545"/>
    </row>
    <row r="331" spans="9:9" s="10" customFormat="1" x14ac:dyDescent="0.35">
      <c r="I331" s="545"/>
    </row>
    <row r="332" spans="9:9" s="10" customFormat="1" x14ac:dyDescent="0.35">
      <c r="I332" s="545"/>
    </row>
    <row r="333" spans="9:9" s="10" customFormat="1" x14ac:dyDescent="0.35">
      <c r="I333" s="545"/>
    </row>
    <row r="334" spans="9:9" s="10" customFormat="1" x14ac:dyDescent="0.35">
      <c r="I334" s="545"/>
    </row>
    <row r="335" spans="9:9" s="10" customFormat="1" x14ac:dyDescent="0.35">
      <c r="I335" s="545"/>
    </row>
    <row r="336" spans="9:9" s="10" customFormat="1" x14ac:dyDescent="0.35">
      <c r="I336" s="545"/>
    </row>
    <row r="337" spans="9:9" s="10" customFormat="1" x14ac:dyDescent="0.35">
      <c r="I337" s="545"/>
    </row>
    <row r="338" spans="9:9" s="10" customFormat="1" x14ac:dyDescent="0.35">
      <c r="I338" s="545"/>
    </row>
    <row r="339" spans="9:9" s="10" customFormat="1" x14ac:dyDescent="0.35">
      <c r="I339" s="545"/>
    </row>
    <row r="340" spans="9:9" s="10" customFormat="1" x14ac:dyDescent="0.35">
      <c r="I340" s="545"/>
    </row>
    <row r="341" spans="9:9" s="10" customFormat="1" x14ac:dyDescent="0.35">
      <c r="I341" s="545"/>
    </row>
    <row r="342" spans="9:9" s="10" customFormat="1" x14ac:dyDescent="0.35">
      <c r="I342" s="545"/>
    </row>
    <row r="343" spans="9:9" s="10" customFormat="1" x14ac:dyDescent="0.35">
      <c r="I343" s="545"/>
    </row>
    <row r="344" spans="9:9" s="10" customFormat="1" x14ac:dyDescent="0.35">
      <c r="I344" s="545"/>
    </row>
    <row r="345" spans="9:9" s="10" customFormat="1" x14ac:dyDescent="0.35">
      <c r="I345" s="545"/>
    </row>
    <row r="346" spans="9:9" s="10" customFormat="1" x14ac:dyDescent="0.35">
      <c r="I346" s="545"/>
    </row>
    <row r="347" spans="9:9" s="10" customFormat="1" x14ac:dyDescent="0.35">
      <c r="I347" s="545"/>
    </row>
    <row r="348" spans="9:9" s="10" customFormat="1" x14ac:dyDescent="0.35">
      <c r="I348" s="545"/>
    </row>
    <row r="349" spans="9:9" s="10" customFormat="1" x14ac:dyDescent="0.35">
      <c r="I349" s="545"/>
    </row>
    <row r="350" spans="9:9" s="10" customFormat="1" x14ac:dyDescent="0.35">
      <c r="I350" s="545"/>
    </row>
    <row r="351" spans="9:9" s="10" customFormat="1" x14ac:dyDescent="0.35">
      <c r="I351" s="545"/>
    </row>
    <row r="352" spans="9:9" s="10" customFormat="1" x14ac:dyDescent="0.35">
      <c r="I352" s="545"/>
    </row>
    <row r="353" spans="9:9" s="10" customFormat="1" x14ac:dyDescent="0.35">
      <c r="I353" s="545"/>
    </row>
    <row r="354" spans="9:9" s="10" customFormat="1" x14ac:dyDescent="0.35">
      <c r="I354" s="545"/>
    </row>
    <row r="355" spans="9:9" s="10" customFormat="1" x14ac:dyDescent="0.35">
      <c r="I355" s="545"/>
    </row>
    <row r="356" spans="9:9" s="10" customFormat="1" x14ac:dyDescent="0.35">
      <c r="I356" s="545"/>
    </row>
    <row r="357" spans="9:9" s="10" customFormat="1" x14ac:dyDescent="0.35">
      <c r="I357" s="545"/>
    </row>
    <row r="358" spans="9:9" s="10" customFormat="1" x14ac:dyDescent="0.35">
      <c r="I358" s="545"/>
    </row>
    <row r="359" spans="9:9" s="10" customFormat="1" x14ac:dyDescent="0.35">
      <c r="I359" s="545"/>
    </row>
    <row r="360" spans="9:9" s="10" customFormat="1" x14ac:dyDescent="0.35">
      <c r="I360" s="545"/>
    </row>
    <row r="361" spans="9:9" s="10" customFormat="1" x14ac:dyDescent="0.35">
      <c r="I361" s="545"/>
    </row>
    <row r="362" spans="9:9" s="10" customFormat="1" x14ac:dyDescent="0.35">
      <c r="I362" s="545"/>
    </row>
    <row r="363" spans="9:9" s="10" customFormat="1" x14ac:dyDescent="0.35">
      <c r="I363" s="545"/>
    </row>
    <row r="364" spans="9:9" s="10" customFormat="1" x14ac:dyDescent="0.35">
      <c r="I364" s="545"/>
    </row>
    <row r="365" spans="9:9" s="10" customFormat="1" x14ac:dyDescent="0.35">
      <c r="I365" s="545"/>
    </row>
    <row r="366" spans="9:9" s="10" customFormat="1" x14ac:dyDescent="0.35">
      <c r="I366" s="545"/>
    </row>
    <row r="367" spans="9:9" s="10" customFormat="1" x14ac:dyDescent="0.35">
      <c r="I367" s="545"/>
    </row>
    <row r="368" spans="9:9" s="10" customFormat="1" x14ac:dyDescent="0.35">
      <c r="I368" s="545"/>
    </row>
    <row r="369" spans="9:9" s="10" customFormat="1" x14ac:dyDescent="0.35">
      <c r="I369" s="545"/>
    </row>
    <row r="370" spans="9:9" s="10" customFormat="1" x14ac:dyDescent="0.35">
      <c r="I370" s="545"/>
    </row>
    <row r="371" spans="9:9" s="10" customFormat="1" x14ac:dyDescent="0.35">
      <c r="I371" s="545"/>
    </row>
    <row r="372" spans="9:9" s="10" customFormat="1" x14ac:dyDescent="0.35">
      <c r="I372" s="545"/>
    </row>
    <row r="373" spans="9:9" s="10" customFormat="1" x14ac:dyDescent="0.35">
      <c r="I373" s="545"/>
    </row>
    <row r="374" spans="9:9" s="10" customFormat="1" x14ac:dyDescent="0.35">
      <c r="I374" s="545"/>
    </row>
    <row r="375" spans="9:9" s="10" customFormat="1" x14ac:dyDescent="0.35">
      <c r="I375" s="545"/>
    </row>
    <row r="376" spans="9:9" s="10" customFormat="1" x14ac:dyDescent="0.35">
      <c r="I376" s="545"/>
    </row>
    <row r="377" spans="9:9" s="10" customFormat="1" x14ac:dyDescent="0.35">
      <c r="I377" s="545"/>
    </row>
    <row r="378" spans="9:9" s="10" customFormat="1" x14ac:dyDescent="0.35">
      <c r="I378" s="545"/>
    </row>
    <row r="379" spans="9:9" s="10" customFormat="1" x14ac:dyDescent="0.35">
      <c r="I379" s="545"/>
    </row>
    <row r="380" spans="9:9" s="10" customFormat="1" x14ac:dyDescent="0.35">
      <c r="I380" s="545"/>
    </row>
    <row r="381" spans="9:9" s="10" customFormat="1" x14ac:dyDescent="0.35">
      <c r="I381" s="545"/>
    </row>
    <row r="382" spans="9:9" s="10" customFormat="1" x14ac:dyDescent="0.35">
      <c r="I382" s="545"/>
    </row>
    <row r="383" spans="9:9" s="10" customFormat="1" x14ac:dyDescent="0.35">
      <c r="I383" s="545"/>
    </row>
    <row r="384" spans="9:9" s="10" customFormat="1" x14ac:dyDescent="0.35">
      <c r="I384" s="545"/>
    </row>
    <row r="385" spans="9:9" s="10" customFormat="1" x14ac:dyDescent="0.35">
      <c r="I385" s="545"/>
    </row>
    <row r="386" spans="9:9" s="10" customFormat="1" x14ac:dyDescent="0.35">
      <c r="I386" s="545"/>
    </row>
    <row r="387" spans="9:9" s="10" customFormat="1" x14ac:dyDescent="0.35">
      <c r="I387" s="545"/>
    </row>
    <row r="388" spans="9:9" s="10" customFormat="1" x14ac:dyDescent="0.35">
      <c r="I388" s="545"/>
    </row>
    <row r="389" spans="9:9" s="10" customFormat="1" x14ac:dyDescent="0.35">
      <c r="I389" s="545"/>
    </row>
    <row r="390" spans="9:9" s="10" customFormat="1" x14ac:dyDescent="0.35">
      <c r="I390" s="545"/>
    </row>
    <row r="391" spans="9:9" s="10" customFormat="1" x14ac:dyDescent="0.35">
      <c r="I391" s="545"/>
    </row>
    <row r="392" spans="9:9" s="10" customFormat="1" x14ac:dyDescent="0.35">
      <c r="I392" s="545"/>
    </row>
    <row r="393" spans="9:9" s="10" customFormat="1" x14ac:dyDescent="0.35">
      <c r="I393" s="545"/>
    </row>
    <row r="394" spans="9:9" s="10" customFormat="1" x14ac:dyDescent="0.35">
      <c r="I394" s="545"/>
    </row>
    <row r="395" spans="9:9" s="10" customFormat="1" x14ac:dyDescent="0.35">
      <c r="I395" s="545"/>
    </row>
    <row r="396" spans="9:9" s="10" customFormat="1" x14ac:dyDescent="0.35">
      <c r="I396" s="545"/>
    </row>
    <row r="397" spans="9:9" s="10" customFormat="1" x14ac:dyDescent="0.35">
      <c r="I397" s="545"/>
    </row>
    <row r="398" spans="9:9" s="10" customFormat="1" x14ac:dyDescent="0.35">
      <c r="I398" s="545"/>
    </row>
    <row r="399" spans="9:9" s="10" customFormat="1" x14ac:dyDescent="0.35">
      <c r="I399" s="545"/>
    </row>
    <row r="400" spans="9:9" s="10" customFormat="1" x14ac:dyDescent="0.35">
      <c r="I400" s="545"/>
    </row>
    <row r="401" spans="9:9" s="10" customFormat="1" x14ac:dyDescent="0.35">
      <c r="I401" s="545"/>
    </row>
    <row r="402" spans="9:9" s="10" customFormat="1" x14ac:dyDescent="0.35">
      <c r="I402" s="545"/>
    </row>
    <row r="403" spans="9:9" s="10" customFormat="1" x14ac:dyDescent="0.35">
      <c r="I403" s="545"/>
    </row>
    <row r="404" spans="9:9" s="10" customFormat="1" x14ac:dyDescent="0.35">
      <c r="I404" s="545"/>
    </row>
    <row r="405" spans="9:9" s="10" customFormat="1" x14ac:dyDescent="0.35">
      <c r="I405" s="545"/>
    </row>
    <row r="406" spans="9:9" s="10" customFormat="1" x14ac:dyDescent="0.35">
      <c r="I406" s="545"/>
    </row>
    <row r="407" spans="9:9" s="10" customFormat="1" x14ac:dyDescent="0.35">
      <c r="I407" s="545"/>
    </row>
    <row r="408" spans="9:9" s="10" customFormat="1" x14ac:dyDescent="0.35">
      <c r="I408" s="545"/>
    </row>
    <row r="409" spans="9:9" s="10" customFormat="1" x14ac:dyDescent="0.35">
      <c r="I409" s="545"/>
    </row>
    <row r="410" spans="9:9" s="10" customFormat="1" x14ac:dyDescent="0.35">
      <c r="I410" s="545"/>
    </row>
    <row r="411" spans="9:9" s="10" customFormat="1" x14ac:dyDescent="0.35">
      <c r="I411" s="545"/>
    </row>
    <row r="412" spans="9:9" s="10" customFormat="1" x14ac:dyDescent="0.35">
      <c r="I412" s="545"/>
    </row>
    <row r="413" spans="9:9" s="10" customFormat="1" x14ac:dyDescent="0.35">
      <c r="I413" s="545"/>
    </row>
    <row r="414" spans="9:9" s="10" customFormat="1" x14ac:dyDescent="0.35">
      <c r="I414" s="545"/>
    </row>
    <row r="415" spans="9:9" s="10" customFormat="1" x14ac:dyDescent="0.35">
      <c r="I415" s="545"/>
    </row>
    <row r="416" spans="9:9" s="10" customFormat="1" x14ac:dyDescent="0.35">
      <c r="I416" s="545"/>
    </row>
    <row r="417" spans="9:9" s="10" customFormat="1" x14ac:dyDescent="0.35">
      <c r="I417" s="545"/>
    </row>
    <row r="418" spans="9:9" s="10" customFormat="1" x14ac:dyDescent="0.35">
      <c r="I418" s="545"/>
    </row>
    <row r="419" spans="9:9" s="10" customFormat="1" x14ac:dyDescent="0.35">
      <c r="I419" s="545"/>
    </row>
    <row r="420" spans="9:9" s="10" customFormat="1" x14ac:dyDescent="0.35">
      <c r="I420" s="545"/>
    </row>
    <row r="421" spans="9:9" s="10" customFormat="1" x14ac:dyDescent="0.35">
      <c r="I421" s="545"/>
    </row>
    <row r="422" spans="9:9" s="10" customFormat="1" x14ac:dyDescent="0.35">
      <c r="I422" s="545"/>
    </row>
    <row r="423" spans="9:9" s="10" customFormat="1" x14ac:dyDescent="0.35">
      <c r="I423" s="545"/>
    </row>
    <row r="424" spans="9:9" s="10" customFormat="1" x14ac:dyDescent="0.35">
      <c r="I424" s="545"/>
    </row>
    <row r="425" spans="9:9" s="10" customFormat="1" x14ac:dyDescent="0.35">
      <c r="I425" s="545"/>
    </row>
    <row r="426" spans="9:9" s="10" customFormat="1" x14ac:dyDescent="0.35">
      <c r="I426" s="545"/>
    </row>
    <row r="427" spans="9:9" s="10" customFormat="1" x14ac:dyDescent="0.35">
      <c r="I427" s="545"/>
    </row>
    <row r="428" spans="9:9" s="10" customFormat="1" x14ac:dyDescent="0.35">
      <c r="I428" s="545"/>
    </row>
    <row r="429" spans="9:9" s="10" customFormat="1" x14ac:dyDescent="0.35">
      <c r="I429" s="545"/>
    </row>
    <row r="430" spans="9:9" s="10" customFormat="1" x14ac:dyDescent="0.35">
      <c r="I430" s="545"/>
    </row>
    <row r="431" spans="9:9" s="10" customFormat="1" x14ac:dyDescent="0.35">
      <c r="I431" s="545"/>
    </row>
    <row r="432" spans="9:9" s="10" customFormat="1" x14ac:dyDescent="0.35">
      <c r="I432" s="545"/>
    </row>
    <row r="433" spans="9:9" s="10" customFormat="1" x14ac:dyDescent="0.35">
      <c r="I433" s="545"/>
    </row>
    <row r="434" spans="9:9" s="10" customFormat="1" x14ac:dyDescent="0.35">
      <c r="I434" s="545"/>
    </row>
    <row r="435" spans="9:9" s="10" customFormat="1" x14ac:dyDescent="0.35">
      <c r="I435" s="545"/>
    </row>
    <row r="436" spans="9:9" s="10" customFormat="1" x14ac:dyDescent="0.35">
      <c r="I436" s="545"/>
    </row>
    <row r="437" spans="9:9" s="10" customFormat="1" x14ac:dyDescent="0.35">
      <c r="I437" s="545"/>
    </row>
    <row r="438" spans="9:9" s="10" customFormat="1" x14ac:dyDescent="0.35">
      <c r="I438" s="545"/>
    </row>
    <row r="439" spans="9:9" s="10" customFormat="1" x14ac:dyDescent="0.35">
      <c r="I439" s="545"/>
    </row>
    <row r="440" spans="9:9" s="10" customFormat="1" x14ac:dyDescent="0.35">
      <c r="I440" s="545"/>
    </row>
    <row r="441" spans="9:9" s="10" customFormat="1" x14ac:dyDescent="0.35">
      <c r="I441" s="545"/>
    </row>
    <row r="442" spans="9:9" s="10" customFormat="1" x14ac:dyDescent="0.35">
      <c r="I442" s="545"/>
    </row>
    <row r="443" spans="9:9" s="10" customFormat="1" x14ac:dyDescent="0.35">
      <c r="I443" s="545"/>
    </row>
    <row r="444" spans="9:9" s="10" customFormat="1" x14ac:dyDescent="0.35">
      <c r="I444" s="545"/>
    </row>
    <row r="445" spans="9:9" s="10" customFormat="1" x14ac:dyDescent="0.35">
      <c r="I445" s="545"/>
    </row>
    <row r="446" spans="9:9" s="10" customFormat="1" x14ac:dyDescent="0.35">
      <c r="I446" s="545"/>
    </row>
    <row r="447" spans="9:9" s="10" customFormat="1" x14ac:dyDescent="0.35">
      <c r="I447" s="545"/>
    </row>
    <row r="448" spans="9:9" s="10" customFormat="1" x14ac:dyDescent="0.35">
      <c r="I448" s="545"/>
    </row>
    <row r="449" spans="9:9" s="10" customFormat="1" x14ac:dyDescent="0.35">
      <c r="I449" s="545"/>
    </row>
    <row r="450" spans="9:9" s="10" customFormat="1" x14ac:dyDescent="0.35">
      <c r="I450" s="545"/>
    </row>
    <row r="451" spans="9:9" s="10" customFormat="1" x14ac:dyDescent="0.35">
      <c r="I451" s="545"/>
    </row>
    <row r="452" spans="9:9" s="10" customFormat="1" x14ac:dyDescent="0.35">
      <c r="I452" s="545"/>
    </row>
    <row r="453" spans="9:9" s="10" customFormat="1" x14ac:dyDescent="0.35">
      <c r="I453" s="545"/>
    </row>
    <row r="454" spans="9:9" s="10" customFormat="1" x14ac:dyDescent="0.35">
      <c r="I454" s="545"/>
    </row>
    <row r="455" spans="9:9" s="10" customFormat="1" x14ac:dyDescent="0.35">
      <c r="I455" s="545"/>
    </row>
    <row r="456" spans="9:9" s="10" customFormat="1" x14ac:dyDescent="0.35">
      <c r="I456" s="545"/>
    </row>
    <row r="457" spans="9:9" s="10" customFormat="1" x14ac:dyDescent="0.35">
      <c r="I457" s="545"/>
    </row>
    <row r="458" spans="9:9" s="10" customFormat="1" x14ac:dyDescent="0.35">
      <c r="I458" s="545"/>
    </row>
    <row r="459" spans="9:9" s="10" customFormat="1" x14ac:dyDescent="0.35">
      <c r="I459" s="545"/>
    </row>
    <row r="460" spans="9:9" s="10" customFormat="1" x14ac:dyDescent="0.35">
      <c r="I460" s="545"/>
    </row>
    <row r="461" spans="9:9" s="10" customFormat="1" x14ac:dyDescent="0.35">
      <c r="I461" s="545"/>
    </row>
    <row r="462" spans="9:9" s="10" customFormat="1" x14ac:dyDescent="0.35">
      <c r="I462" s="545"/>
    </row>
    <row r="463" spans="9:9" s="10" customFormat="1" x14ac:dyDescent="0.35">
      <c r="I463" s="545"/>
    </row>
    <row r="464" spans="9:9" s="10" customFormat="1" x14ac:dyDescent="0.35">
      <c r="I464" s="545"/>
    </row>
    <row r="465" spans="9:9" s="10" customFormat="1" x14ac:dyDescent="0.35">
      <c r="I465" s="545"/>
    </row>
    <row r="466" spans="9:9" s="10" customFormat="1" x14ac:dyDescent="0.35">
      <c r="I466" s="545"/>
    </row>
    <row r="467" spans="9:9" s="10" customFormat="1" x14ac:dyDescent="0.35">
      <c r="I467" s="545"/>
    </row>
    <row r="468" spans="9:9" s="10" customFormat="1" x14ac:dyDescent="0.35">
      <c r="I468" s="545"/>
    </row>
    <row r="469" spans="9:9" s="10" customFormat="1" x14ac:dyDescent="0.35">
      <c r="I469" s="545"/>
    </row>
    <row r="470" spans="9:9" s="10" customFormat="1" x14ac:dyDescent="0.35">
      <c r="I470" s="545"/>
    </row>
    <row r="471" spans="9:9" s="10" customFormat="1" x14ac:dyDescent="0.35">
      <c r="I471" s="545"/>
    </row>
    <row r="472" spans="9:9" s="10" customFormat="1" x14ac:dyDescent="0.35">
      <c r="I472" s="545"/>
    </row>
    <row r="473" spans="9:9" s="10" customFormat="1" x14ac:dyDescent="0.35">
      <c r="I473" s="545"/>
    </row>
    <row r="474" spans="9:9" s="10" customFormat="1" x14ac:dyDescent="0.35">
      <c r="I474" s="545"/>
    </row>
    <row r="475" spans="9:9" s="10" customFormat="1" x14ac:dyDescent="0.35">
      <c r="I475" s="545"/>
    </row>
    <row r="476" spans="9:9" s="10" customFormat="1" x14ac:dyDescent="0.35">
      <c r="I476" s="545"/>
    </row>
    <row r="477" spans="9:9" s="10" customFormat="1" x14ac:dyDescent="0.35">
      <c r="I477" s="545"/>
    </row>
    <row r="478" spans="9:9" s="10" customFormat="1" x14ac:dyDescent="0.35">
      <c r="I478" s="545"/>
    </row>
    <row r="479" spans="9:9" s="10" customFormat="1" x14ac:dyDescent="0.35">
      <c r="I479" s="545"/>
    </row>
    <row r="480" spans="9:9" s="10" customFormat="1" x14ac:dyDescent="0.35">
      <c r="I480" s="545"/>
    </row>
    <row r="481" spans="9:9" s="10" customFormat="1" x14ac:dyDescent="0.35">
      <c r="I481" s="545"/>
    </row>
    <row r="482" spans="9:9" s="10" customFormat="1" x14ac:dyDescent="0.35">
      <c r="I482" s="545"/>
    </row>
    <row r="483" spans="9:9" s="10" customFormat="1" x14ac:dyDescent="0.35">
      <c r="I483" s="545"/>
    </row>
    <row r="484" spans="9:9" s="10" customFormat="1" x14ac:dyDescent="0.35">
      <c r="I484" s="545"/>
    </row>
    <row r="485" spans="9:9" s="10" customFormat="1" x14ac:dyDescent="0.35">
      <c r="I485" s="545"/>
    </row>
    <row r="486" spans="9:9" s="10" customFormat="1" x14ac:dyDescent="0.35">
      <c r="I486" s="545"/>
    </row>
    <row r="487" spans="9:9" s="10" customFormat="1" x14ac:dyDescent="0.35">
      <c r="I487" s="545"/>
    </row>
    <row r="488" spans="9:9" s="10" customFormat="1" x14ac:dyDescent="0.35">
      <c r="I488" s="545"/>
    </row>
    <row r="489" spans="9:9" s="10" customFormat="1" x14ac:dyDescent="0.35">
      <c r="I489" s="545"/>
    </row>
    <row r="490" spans="9:9" s="10" customFormat="1" x14ac:dyDescent="0.35">
      <c r="I490" s="545"/>
    </row>
    <row r="491" spans="9:9" s="10" customFormat="1" x14ac:dyDescent="0.35">
      <c r="I491" s="545"/>
    </row>
    <row r="492" spans="9:9" s="10" customFormat="1" x14ac:dyDescent="0.35">
      <c r="I492" s="545"/>
    </row>
    <row r="493" spans="9:9" s="10" customFormat="1" x14ac:dyDescent="0.35">
      <c r="I493" s="545"/>
    </row>
    <row r="494" spans="9:9" s="10" customFormat="1" x14ac:dyDescent="0.35">
      <c r="I494" s="545"/>
    </row>
    <row r="495" spans="9:9" s="10" customFormat="1" x14ac:dyDescent="0.35">
      <c r="I495" s="545"/>
    </row>
    <row r="496" spans="9:9" s="10" customFormat="1" x14ac:dyDescent="0.35">
      <c r="I496" s="545"/>
    </row>
    <row r="497" spans="9:9" s="10" customFormat="1" x14ac:dyDescent="0.35">
      <c r="I497" s="545"/>
    </row>
    <row r="498" spans="9:9" s="10" customFormat="1" x14ac:dyDescent="0.35">
      <c r="I498" s="545"/>
    </row>
    <row r="499" spans="9:9" s="10" customFormat="1" x14ac:dyDescent="0.35">
      <c r="I499" s="545"/>
    </row>
    <row r="500" spans="9:9" s="10" customFormat="1" x14ac:dyDescent="0.35">
      <c r="I500" s="545"/>
    </row>
    <row r="501" spans="9:9" s="10" customFormat="1" x14ac:dyDescent="0.35">
      <c r="I501" s="545"/>
    </row>
    <row r="502" spans="9:9" s="10" customFormat="1" x14ac:dyDescent="0.35">
      <c r="I502" s="545"/>
    </row>
    <row r="503" spans="9:9" s="10" customFormat="1" x14ac:dyDescent="0.35">
      <c r="I503" s="545"/>
    </row>
    <row r="504" spans="9:9" s="10" customFormat="1" x14ac:dyDescent="0.35">
      <c r="I504" s="545"/>
    </row>
    <row r="505" spans="9:9" s="10" customFormat="1" x14ac:dyDescent="0.35">
      <c r="I505" s="545"/>
    </row>
    <row r="506" spans="9:9" s="10" customFormat="1" x14ac:dyDescent="0.35">
      <c r="I506" s="545"/>
    </row>
    <row r="507" spans="9:9" s="10" customFormat="1" x14ac:dyDescent="0.35">
      <c r="I507" s="545"/>
    </row>
    <row r="508" spans="9:9" s="10" customFormat="1" x14ac:dyDescent="0.35">
      <c r="I508" s="545"/>
    </row>
    <row r="509" spans="9:9" s="10" customFormat="1" x14ac:dyDescent="0.35">
      <c r="I509" s="545"/>
    </row>
    <row r="510" spans="9:9" s="10" customFormat="1" x14ac:dyDescent="0.35">
      <c r="I510" s="545"/>
    </row>
    <row r="511" spans="9:9" s="10" customFormat="1" x14ac:dyDescent="0.35">
      <c r="I511" s="545"/>
    </row>
    <row r="512" spans="9:9" s="10" customFormat="1" x14ac:dyDescent="0.35">
      <c r="I512" s="545"/>
    </row>
    <row r="513" spans="9:9" s="10" customFormat="1" x14ac:dyDescent="0.35">
      <c r="I513" s="545"/>
    </row>
    <row r="514" spans="9:9" s="10" customFormat="1" x14ac:dyDescent="0.35">
      <c r="I514" s="545"/>
    </row>
    <row r="515" spans="9:9" s="10" customFormat="1" x14ac:dyDescent="0.35">
      <c r="I515" s="545"/>
    </row>
    <row r="516" spans="9:9" s="10" customFormat="1" x14ac:dyDescent="0.35">
      <c r="I516" s="545"/>
    </row>
    <row r="517" spans="9:9" s="10" customFormat="1" x14ac:dyDescent="0.35">
      <c r="I517" s="545"/>
    </row>
    <row r="518" spans="9:9" s="10" customFormat="1" x14ac:dyDescent="0.35">
      <c r="I518" s="545"/>
    </row>
    <row r="519" spans="9:9" s="10" customFormat="1" x14ac:dyDescent="0.35">
      <c r="I519" s="545"/>
    </row>
    <row r="520" spans="9:9" s="10" customFormat="1" x14ac:dyDescent="0.35">
      <c r="I520" s="545"/>
    </row>
    <row r="521" spans="9:9" s="10" customFormat="1" x14ac:dyDescent="0.35">
      <c r="I521" s="545"/>
    </row>
    <row r="522" spans="9:9" s="10" customFormat="1" x14ac:dyDescent="0.35">
      <c r="I522" s="545"/>
    </row>
    <row r="523" spans="9:9" s="10" customFormat="1" x14ac:dyDescent="0.35">
      <c r="I523" s="545"/>
    </row>
    <row r="524" spans="9:9" s="10" customFormat="1" x14ac:dyDescent="0.35">
      <c r="I524" s="545"/>
    </row>
    <row r="525" spans="9:9" s="10" customFormat="1" x14ac:dyDescent="0.35">
      <c r="I525" s="545"/>
    </row>
    <row r="526" spans="9:9" s="10" customFormat="1" x14ac:dyDescent="0.35">
      <c r="I526" s="545"/>
    </row>
    <row r="527" spans="9:9" s="10" customFormat="1" x14ac:dyDescent="0.35">
      <c r="I527" s="545"/>
    </row>
    <row r="528" spans="9:9" s="10" customFormat="1" x14ac:dyDescent="0.35">
      <c r="I528" s="545"/>
    </row>
    <row r="529" spans="9:9" s="10" customFormat="1" x14ac:dyDescent="0.35">
      <c r="I529" s="545"/>
    </row>
    <row r="530" spans="9:9" s="10" customFormat="1" x14ac:dyDescent="0.35">
      <c r="I530" s="545"/>
    </row>
    <row r="531" spans="9:9" s="10" customFormat="1" x14ac:dyDescent="0.35">
      <c r="I531" s="545"/>
    </row>
    <row r="532" spans="9:9" s="10" customFormat="1" x14ac:dyDescent="0.35">
      <c r="I532" s="545"/>
    </row>
    <row r="533" spans="9:9" s="10" customFormat="1" x14ac:dyDescent="0.35">
      <c r="I533" s="545"/>
    </row>
    <row r="534" spans="9:9" s="10" customFormat="1" x14ac:dyDescent="0.35">
      <c r="I534" s="545"/>
    </row>
    <row r="535" spans="9:9" s="10" customFormat="1" x14ac:dyDescent="0.35">
      <c r="I535" s="545"/>
    </row>
    <row r="536" spans="9:9" s="10" customFormat="1" x14ac:dyDescent="0.35">
      <c r="I536" s="545"/>
    </row>
    <row r="537" spans="9:9" s="10" customFormat="1" x14ac:dyDescent="0.35">
      <c r="I537" s="545"/>
    </row>
    <row r="538" spans="9:9" s="10" customFormat="1" x14ac:dyDescent="0.35">
      <c r="I538" s="545"/>
    </row>
    <row r="539" spans="9:9" s="10" customFormat="1" x14ac:dyDescent="0.35">
      <c r="I539" s="545"/>
    </row>
    <row r="540" spans="9:9" s="10" customFormat="1" x14ac:dyDescent="0.35">
      <c r="I540" s="545"/>
    </row>
    <row r="541" spans="9:9" s="10" customFormat="1" x14ac:dyDescent="0.35">
      <c r="I541" s="545"/>
    </row>
    <row r="542" spans="9:9" s="10" customFormat="1" x14ac:dyDescent="0.35">
      <c r="I542" s="545"/>
    </row>
    <row r="543" spans="9:9" s="10" customFormat="1" x14ac:dyDescent="0.35">
      <c r="I543" s="545"/>
    </row>
    <row r="544" spans="9:9" s="10" customFormat="1" x14ac:dyDescent="0.35">
      <c r="I544" s="545"/>
    </row>
    <row r="545" spans="9:9" s="10" customFormat="1" x14ac:dyDescent="0.35">
      <c r="I545" s="545"/>
    </row>
    <row r="546" spans="9:9" s="10" customFormat="1" x14ac:dyDescent="0.35">
      <c r="I546" s="545"/>
    </row>
    <row r="547" spans="9:9" s="10" customFormat="1" x14ac:dyDescent="0.35">
      <c r="I547" s="545"/>
    </row>
    <row r="548" spans="9:9" s="10" customFormat="1" x14ac:dyDescent="0.35">
      <c r="I548" s="545"/>
    </row>
    <row r="549" spans="9:9" s="10" customFormat="1" x14ac:dyDescent="0.35">
      <c r="I549" s="545"/>
    </row>
    <row r="550" spans="9:9" s="10" customFormat="1" x14ac:dyDescent="0.35">
      <c r="I550" s="545"/>
    </row>
    <row r="551" spans="9:9" s="10" customFormat="1" x14ac:dyDescent="0.35">
      <c r="I551" s="545"/>
    </row>
    <row r="552" spans="9:9" s="10" customFormat="1" x14ac:dyDescent="0.35">
      <c r="I552" s="545"/>
    </row>
    <row r="553" spans="9:9" s="10" customFormat="1" x14ac:dyDescent="0.35">
      <c r="I553" s="545"/>
    </row>
    <row r="554" spans="9:9" s="10" customFormat="1" x14ac:dyDescent="0.35">
      <c r="I554" s="545"/>
    </row>
    <row r="555" spans="9:9" s="10" customFormat="1" x14ac:dyDescent="0.35">
      <c r="I555" s="545"/>
    </row>
    <row r="556" spans="9:9" s="10" customFormat="1" x14ac:dyDescent="0.35">
      <c r="I556" s="545"/>
    </row>
    <row r="557" spans="9:9" s="10" customFormat="1" x14ac:dyDescent="0.35">
      <c r="I557" s="545"/>
    </row>
    <row r="558" spans="9:9" s="10" customFormat="1" x14ac:dyDescent="0.35">
      <c r="I558" s="545"/>
    </row>
    <row r="559" spans="9:9" s="10" customFormat="1" x14ac:dyDescent="0.35">
      <c r="I559" s="545"/>
    </row>
    <row r="560" spans="9:9" s="10" customFormat="1" x14ac:dyDescent="0.35">
      <c r="I560" s="545"/>
    </row>
    <row r="561" spans="9:9" s="10" customFormat="1" x14ac:dyDescent="0.35">
      <c r="I561" s="545"/>
    </row>
    <row r="562" spans="9:9" s="10" customFormat="1" x14ac:dyDescent="0.35">
      <c r="I562" s="545"/>
    </row>
    <row r="563" spans="9:9" s="10" customFormat="1" x14ac:dyDescent="0.35">
      <c r="I563" s="545"/>
    </row>
    <row r="564" spans="9:9" s="10" customFormat="1" x14ac:dyDescent="0.35">
      <c r="I564" s="545"/>
    </row>
    <row r="565" spans="9:9" s="10" customFormat="1" x14ac:dyDescent="0.35">
      <c r="I565" s="545"/>
    </row>
    <row r="566" spans="9:9" s="10" customFormat="1" x14ac:dyDescent="0.35">
      <c r="I566" s="545"/>
    </row>
    <row r="567" spans="9:9" s="10" customFormat="1" x14ac:dyDescent="0.35">
      <c r="I567" s="545"/>
    </row>
    <row r="568" spans="9:9" s="10" customFormat="1" x14ac:dyDescent="0.35">
      <c r="I568" s="545"/>
    </row>
    <row r="569" spans="9:9" s="10" customFormat="1" x14ac:dyDescent="0.35">
      <c r="I569" s="545"/>
    </row>
    <row r="570" spans="9:9" s="10" customFormat="1" x14ac:dyDescent="0.35">
      <c r="I570" s="545"/>
    </row>
    <row r="571" spans="9:9" s="10" customFormat="1" x14ac:dyDescent="0.35">
      <c r="I571" s="545"/>
    </row>
    <row r="572" spans="9:9" s="10" customFormat="1" x14ac:dyDescent="0.35">
      <c r="I572" s="545"/>
    </row>
    <row r="573" spans="9:9" s="10" customFormat="1" x14ac:dyDescent="0.35">
      <c r="I573" s="545"/>
    </row>
    <row r="574" spans="9:9" s="10" customFormat="1" x14ac:dyDescent="0.35">
      <c r="I574" s="545"/>
    </row>
    <row r="575" spans="9:9" s="10" customFormat="1" x14ac:dyDescent="0.35">
      <c r="I575" s="545"/>
    </row>
    <row r="576" spans="9:9" s="10" customFormat="1" x14ac:dyDescent="0.35">
      <c r="I576" s="545"/>
    </row>
    <row r="577" spans="9:9" s="10" customFormat="1" x14ac:dyDescent="0.35">
      <c r="I577" s="545"/>
    </row>
    <row r="578" spans="9:9" s="10" customFormat="1" x14ac:dyDescent="0.35">
      <c r="I578" s="545"/>
    </row>
    <row r="579" spans="9:9" s="10" customFormat="1" x14ac:dyDescent="0.35">
      <c r="I579" s="545"/>
    </row>
    <row r="580" spans="9:9" s="10" customFormat="1" x14ac:dyDescent="0.35">
      <c r="I580" s="545"/>
    </row>
    <row r="581" spans="9:9" s="10" customFormat="1" x14ac:dyDescent="0.35">
      <c r="I581" s="545"/>
    </row>
    <row r="582" spans="9:9" s="10" customFormat="1" x14ac:dyDescent="0.35">
      <c r="I582" s="545"/>
    </row>
    <row r="583" spans="9:9" s="10" customFormat="1" x14ac:dyDescent="0.35">
      <c r="I583" s="545"/>
    </row>
    <row r="584" spans="9:9" s="10" customFormat="1" x14ac:dyDescent="0.35">
      <c r="I584" s="545"/>
    </row>
    <row r="585" spans="9:9" s="10" customFormat="1" x14ac:dyDescent="0.35">
      <c r="I585" s="545"/>
    </row>
    <row r="586" spans="9:9" s="10" customFormat="1" x14ac:dyDescent="0.35">
      <c r="I586" s="545"/>
    </row>
    <row r="587" spans="9:9" s="10" customFormat="1" x14ac:dyDescent="0.35">
      <c r="I587" s="545"/>
    </row>
    <row r="588" spans="9:9" s="10" customFormat="1" x14ac:dyDescent="0.35">
      <c r="I588" s="545"/>
    </row>
    <row r="589" spans="9:9" s="10" customFormat="1" x14ac:dyDescent="0.35">
      <c r="I589" s="545"/>
    </row>
    <row r="590" spans="9:9" s="10" customFormat="1" x14ac:dyDescent="0.35">
      <c r="I590" s="545"/>
    </row>
    <row r="591" spans="9:9" s="10" customFormat="1" x14ac:dyDescent="0.35">
      <c r="I591" s="545"/>
    </row>
    <row r="592" spans="9:9" s="10" customFormat="1" x14ac:dyDescent="0.35">
      <c r="I592" s="545"/>
    </row>
    <row r="593" spans="9:9" s="10" customFormat="1" x14ac:dyDescent="0.35">
      <c r="I593" s="545"/>
    </row>
    <row r="594" spans="9:9" s="10" customFormat="1" x14ac:dyDescent="0.35">
      <c r="I594" s="545"/>
    </row>
    <row r="595" spans="9:9" s="10" customFormat="1" x14ac:dyDescent="0.35">
      <c r="I595" s="545"/>
    </row>
    <row r="596" spans="9:9" s="10" customFormat="1" x14ac:dyDescent="0.35">
      <c r="I596" s="545"/>
    </row>
    <row r="597" spans="9:9" s="10" customFormat="1" x14ac:dyDescent="0.35">
      <c r="I597" s="545"/>
    </row>
    <row r="598" spans="9:9" s="10" customFormat="1" x14ac:dyDescent="0.35">
      <c r="I598" s="545"/>
    </row>
    <row r="599" spans="9:9" s="10" customFormat="1" x14ac:dyDescent="0.35">
      <c r="I599" s="545"/>
    </row>
    <row r="600" spans="9:9" s="10" customFormat="1" x14ac:dyDescent="0.35">
      <c r="I600" s="545"/>
    </row>
    <row r="601" spans="9:9" s="10" customFormat="1" x14ac:dyDescent="0.35">
      <c r="I601" s="545"/>
    </row>
    <row r="602" spans="9:9" s="10" customFormat="1" x14ac:dyDescent="0.35">
      <c r="I602" s="545"/>
    </row>
    <row r="603" spans="9:9" s="10" customFormat="1" x14ac:dyDescent="0.35">
      <c r="I603" s="545"/>
    </row>
    <row r="604" spans="9:9" s="10" customFormat="1" x14ac:dyDescent="0.35">
      <c r="I604" s="545"/>
    </row>
    <row r="605" spans="9:9" s="10" customFormat="1" x14ac:dyDescent="0.35">
      <c r="I605" s="545"/>
    </row>
    <row r="606" spans="9:9" s="10" customFormat="1" x14ac:dyDescent="0.35">
      <c r="I606" s="545"/>
    </row>
    <row r="607" spans="9:9" s="10" customFormat="1" x14ac:dyDescent="0.35">
      <c r="I607" s="545"/>
    </row>
    <row r="608" spans="9:9" s="10" customFormat="1" x14ac:dyDescent="0.35">
      <c r="I608" s="545"/>
    </row>
    <row r="609" spans="9:9" s="10" customFormat="1" x14ac:dyDescent="0.35">
      <c r="I609" s="545"/>
    </row>
    <row r="610" spans="9:9" s="10" customFormat="1" x14ac:dyDescent="0.35">
      <c r="I610" s="545"/>
    </row>
    <row r="611" spans="9:9" s="10" customFormat="1" x14ac:dyDescent="0.35">
      <c r="I611" s="545"/>
    </row>
    <row r="612" spans="9:9" s="10" customFormat="1" x14ac:dyDescent="0.35">
      <c r="I612" s="545"/>
    </row>
    <row r="613" spans="9:9" s="10" customFormat="1" x14ac:dyDescent="0.35">
      <c r="I613" s="545"/>
    </row>
    <row r="614" spans="9:9" s="10" customFormat="1" x14ac:dyDescent="0.35">
      <c r="I614" s="545"/>
    </row>
    <row r="615" spans="9:9" s="10" customFormat="1" x14ac:dyDescent="0.35">
      <c r="I615" s="545"/>
    </row>
    <row r="616" spans="9:9" s="10" customFormat="1" x14ac:dyDescent="0.35">
      <c r="I616" s="545"/>
    </row>
    <row r="617" spans="9:9" s="10" customFormat="1" x14ac:dyDescent="0.35">
      <c r="I617" s="545"/>
    </row>
    <row r="618" spans="9:9" s="10" customFormat="1" x14ac:dyDescent="0.35">
      <c r="I618" s="545"/>
    </row>
    <row r="619" spans="9:9" s="10" customFormat="1" x14ac:dyDescent="0.35">
      <c r="I619" s="545"/>
    </row>
    <row r="620" spans="9:9" s="10" customFormat="1" x14ac:dyDescent="0.35">
      <c r="I620" s="545"/>
    </row>
    <row r="621" spans="9:9" s="10" customFormat="1" x14ac:dyDescent="0.35">
      <c r="I621" s="545"/>
    </row>
    <row r="622" spans="9:9" s="10" customFormat="1" x14ac:dyDescent="0.35">
      <c r="I622" s="545"/>
    </row>
    <row r="623" spans="9:9" s="10" customFormat="1" x14ac:dyDescent="0.35">
      <c r="I623" s="545"/>
    </row>
    <row r="624" spans="9:9" s="10" customFormat="1" x14ac:dyDescent="0.35">
      <c r="I624" s="545"/>
    </row>
    <row r="625" spans="9:9" s="10" customFormat="1" x14ac:dyDescent="0.35">
      <c r="I625" s="545"/>
    </row>
    <row r="626" spans="9:9" s="10" customFormat="1" x14ac:dyDescent="0.35">
      <c r="I626" s="545"/>
    </row>
    <row r="627" spans="9:9" s="10" customFormat="1" x14ac:dyDescent="0.35">
      <c r="I627" s="545"/>
    </row>
    <row r="628" spans="9:9" s="10" customFormat="1" x14ac:dyDescent="0.35">
      <c r="I628" s="545"/>
    </row>
    <row r="629" spans="9:9" s="10" customFormat="1" x14ac:dyDescent="0.35">
      <c r="I629" s="545"/>
    </row>
    <row r="630" spans="9:9" s="10" customFormat="1" x14ac:dyDescent="0.35">
      <c r="I630" s="545"/>
    </row>
    <row r="631" spans="9:9" s="10" customFormat="1" x14ac:dyDescent="0.35">
      <c r="I631" s="545"/>
    </row>
    <row r="632" spans="9:9" s="10" customFormat="1" x14ac:dyDescent="0.35">
      <c r="I632" s="545"/>
    </row>
    <row r="633" spans="9:9" s="10" customFormat="1" x14ac:dyDescent="0.35">
      <c r="I633" s="545"/>
    </row>
    <row r="634" spans="9:9" s="10" customFormat="1" x14ac:dyDescent="0.35">
      <c r="I634" s="545"/>
    </row>
    <row r="635" spans="9:9" s="10" customFormat="1" x14ac:dyDescent="0.35">
      <c r="I635" s="545"/>
    </row>
    <row r="636" spans="9:9" s="10" customFormat="1" x14ac:dyDescent="0.35">
      <c r="I636" s="545"/>
    </row>
    <row r="637" spans="9:9" s="10" customFormat="1" x14ac:dyDescent="0.35">
      <c r="I637" s="545"/>
    </row>
    <row r="638" spans="9:9" s="10" customFormat="1" x14ac:dyDescent="0.35">
      <c r="I638" s="545"/>
    </row>
    <row r="639" spans="9:9" s="10" customFormat="1" x14ac:dyDescent="0.35">
      <c r="I639" s="545"/>
    </row>
    <row r="640" spans="9:9" s="10" customFormat="1" x14ac:dyDescent="0.35">
      <c r="I640" s="545"/>
    </row>
    <row r="641" spans="9:9" s="10" customFormat="1" x14ac:dyDescent="0.35">
      <c r="I641" s="545"/>
    </row>
    <row r="642" spans="9:9" s="10" customFormat="1" x14ac:dyDescent="0.35">
      <c r="I642" s="545"/>
    </row>
    <row r="643" spans="9:9" s="10" customFormat="1" x14ac:dyDescent="0.35">
      <c r="I643" s="545"/>
    </row>
    <row r="644" spans="9:9" s="10" customFormat="1" x14ac:dyDescent="0.35">
      <c r="I644" s="545"/>
    </row>
    <row r="645" spans="9:9" s="10" customFormat="1" x14ac:dyDescent="0.35">
      <c r="I645" s="545"/>
    </row>
    <row r="646" spans="9:9" s="10" customFormat="1" x14ac:dyDescent="0.35">
      <c r="I646" s="545"/>
    </row>
    <row r="647" spans="9:9" s="10" customFormat="1" x14ac:dyDescent="0.35">
      <c r="I647" s="545"/>
    </row>
    <row r="648" spans="9:9" s="10" customFormat="1" x14ac:dyDescent="0.35">
      <c r="I648" s="545"/>
    </row>
    <row r="649" spans="9:9" s="10" customFormat="1" x14ac:dyDescent="0.35">
      <c r="I649" s="545"/>
    </row>
    <row r="650" spans="9:9" s="10" customFormat="1" x14ac:dyDescent="0.35">
      <c r="I650" s="545"/>
    </row>
    <row r="651" spans="9:9" s="10" customFormat="1" x14ac:dyDescent="0.35">
      <c r="I651" s="545"/>
    </row>
    <row r="652" spans="9:9" s="10" customFormat="1" x14ac:dyDescent="0.35">
      <c r="I652" s="545"/>
    </row>
    <row r="653" spans="9:9" s="10" customFormat="1" x14ac:dyDescent="0.35">
      <c r="I653" s="545"/>
    </row>
    <row r="654" spans="9:9" s="10" customFormat="1" x14ac:dyDescent="0.35">
      <c r="I654" s="545"/>
    </row>
    <row r="655" spans="9:9" s="10" customFormat="1" x14ac:dyDescent="0.35">
      <c r="I655" s="545"/>
    </row>
    <row r="656" spans="9:9" s="10" customFormat="1" x14ac:dyDescent="0.35">
      <c r="I656" s="545"/>
    </row>
    <row r="657" spans="9:9" s="10" customFormat="1" x14ac:dyDescent="0.35">
      <c r="I657" s="545"/>
    </row>
    <row r="658" spans="9:9" s="10" customFormat="1" x14ac:dyDescent="0.35">
      <c r="I658" s="545"/>
    </row>
    <row r="659" spans="9:9" s="10" customFormat="1" x14ac:dyDescent="0.35">
      <c r="I659" s="545"/>
    </row>
    <row r="660" spans="9:9" s="10" customFormat="1" x14ac:dyDescent="0.35">
      <c r="I660" s="545"/>
    </row>
    <row r="661" spans="9:9" s="10" customFormat="1" x14ac:dyDescent="0.35">
      <c r="I661" s="545"/>
    </row>
    <row r="662" spans="9:9" s="10" customFormat="1" x14ac:dyDescent="0.35">
      <c r="I662" s="545"/>
    </row>
    <row r="663" spans="9:9" s="10" customFormat="1" x14ac:dyDescent="0.35">
      <c r="I663" s="545"/>
    </row>
    <row r="664" spans="9:9" s="10" customFormat="1" x14ac:dyDescent="0.35">
      <c r="I664" s="545"/>
    </row>
    <row r="665" spans="9:9" s="10" customFormat="1" x14ac:dyDescent="0.35">
      <c r="I665" s="545"/>
    </row>
    <row r="666" spans="9:9" s="10" customFormat="1" x14ac:dyDescent="0.35">
      <c r="I666" s="545"/>
    </row>
    <row r="667" spans="9:9" s="10" customFormat="1" x14ac:dyDescent="0.35">
      <c r="I667" s="545"/>
    </row>
    <row r="668" spans="9:9" s="10" customFormat="1" x14ac:dyDescent="0.35">
      <c r="I668" s="545"/>
    </row>
    <row r="669" spans="9:9" s="10" customFormat="1" x14ac:dyDescent="0.35">
      <c r="I669" s="545"/>
    </row>
    <row r="670" spans="9:9" s="10" customFormat="1" x14ac:dyDescent="0.35">
      <c r="I670" s="545"/>
    </row>
    <row r="671" spans="9:9" s="10" customFormat="1" x14ac:dyDescent="0.35">
      <c r="I671" s="545"/>
    </row>
    <row r="672" spans="9:9" s="10" customFormat="1" x14ac:dyDescent="0.35">
      <c r="I672" s="545"/>
    </row>
    <row r="673" spans="9:9" s="10" customFormat="1" x14ac:dyDescent="0.35">
      <c r="I673" s="545"/>
    </row>
    <row r="674" spans="9:9" s="10" customFormat="1" x14ac:dyDescent="0.35">
      <c r="I674" s="545"/>
    </row>
    <row r="675" spans="9:9" s="10" customFormat="1" x14ac:dyDescent="0.35">
      <c r="I675" s="545"/>
    </row>
    <row r="676" spans="9:9" s="10" customFormat="1" x14ac:dyDescent="0.35">
      <c r="I676" s="545"/>
    </row>
    <row r="677" spans="9:9" s="10" customFormat="1" x14ac:dyDescent="0.35">
      <c r="I677" s="545"/>
    </row>
    <row r="678" spans="9:9" s="10" customFormat="1" x14ac:dyDescent="0.35">
      <c r="I678" s="545"/>
    </row>
    <row r="679" spans="9:9" s="10" customFormat="1" x14ac:dyDescent="0.35">
      <c r="I679" s="545"/>
    </row>
    <row r="680" spans="9:9" s="10" customFormat="1" x14ac:dyDescent="0.35">
      <c r="I680" s="545"/>
    </row>
    <row r="681" spans="9:9" s="10" customFormat="1" x14ac:dyDescent="0.35">
      <c r="I681" s="545"/>
    </row>
    <row r="682" spans="9:9" s="10" customFormat="1" x14ac:dyDescent="0.35">
      <c r="I682" s="545"/>
    </row>
    <row r="683" spans="9:9" s="10" customFormat="1" x14ac:dyDescent="0.35">
      <c r="I683" s="545"/>
    </row>
    <row r="684" spans="9:9" s="10" customFormat="1" x14ac:dyDescent="0.35">
      <c r="I684" s="545"/>
    </row>
    <row r="685" spans="9:9" s="10" customFormat="1" x14ac:dyDescent="0.35">
      <c r="I685" s="545"/>
    </row>
    <row r="686" spans="9:9" s="10" customFormat="1" x14ac:dyDescent="0.35">
      <c r="I686" s="545"/>
    </row>
    <row r="687" spans="9:9" s="10" customFormat="1" x14ac:dyDescent="0.35">
      <c r="I687" s="545"/>
    </row>
    <row r="688" spans="9:9" s="10" customFormat="1" x14ac:dyDescent="0.35">
      <c r="I688" s="545"/>
    </row>
    <row r="689" spans="9:9" s="10" customFormat="1" x14ac:dyDescent="0.35">
      <c r="I689" s="545"/>
    </row>
    <row r="690" spans="9:9" s="10" customFormat="1" x14ac:dyDescent="0.35">
      <c r="I690" s="545"/>
    </row>
    <row r="691" spans="9:9" s="10" customFormat="1" x14ac:dyDescent="0.35">
      <c r="I691" s="545"/>
    </row>
    <row r="692" spans="9:9" s="10" customFormat="1" x14ac:dyDescent="0.35">
      <c r="I692" s="545"/>
    </row>
    <row r="693" spans="9:9" s="10" customFormat="1" x14ac:dyDescent="0.35">
      <c r="I693" s="545"/>
    </row>
    <row r="694" spans="9:9" s="10" customFormat="1" x14ac:dyDescent="0.35">
      <c r="I694" s="545"/>
    </row>
    <row r="695" spans="9:9" s="10" customFormat="1" x14ac:dyDescent="0.35">
      <c r="I695" s="545"/>
    </row>
    <row r="696" spans="9:9" s="10" customFormat="1" x14ac:dyDescent="0.35">
      <c r="I696" s="545"/>
    </row>
    <row r="697" spans="9:9" s="10" customFormat="1" x14ac:dyDescent="0.35">
      <c r="I697" s="545"/>
    </row>
    <row r="698" spans="9:9" s="10" customFormat="1" x14ac:dyDescent="0.35">
      <c r="I698" s="545"/>
    </row>
    <row r="699" spans="9:9" s="10" customFormat="1" x14ac:dyDescent="0.35">
      <c r="I699" s="545"/>
    </row>
    <row r="700" spans="9:9" s="10" customFormat="1" x14ac:dyDescent="0.35">
      <c r="I700" s="545"/>
    </row>
    <row r="701" spans="9:9" s="10" customFormat="1" x14ac:dyDescent="0.35">
      <c r="I701" s="545"/>
    </row>
    <row r="702" spans="9:9" s="10" customFormat="1" x14ac:dyDescent="0.35">
      <c r="I702" s="545"/>
    </row>
    <row r="703" spans="9:9" s="10" customFormat="1" x14ac:dyDescent="0.35">
      <c r="I703" s="545"/>
    </row>
    <row r="704" spans="9:9" s="10" customFormat="1" x14ac:dyDescent="0.35">
      <c r="I704" s="545"/>
    </row>
    <row r="705" spans="9:9" s="10" customFormat="1" x14ac:dyDescent="0.35">
      <c r="I705" s="545"/>
    </row>
    <row r="706" spans="9:9" s="10" customFormat="1" x14ac:dyDescent="0.35">
      <c r="I706" s="545"/>
    </row>
    <row r="707" spans="9:9" s="10" customFormat="1" x14ac:dyDescent="0.35">
      <c r="I707" s="545"/>
    </row>
    <row r="708" spans="9:9" s="10" customFormat="1" x14ac:dyDescent="0.35">
      <c r="I708" s="545"/>
    </row>
    <row r="709" spans="9:9" s="10" customFormat="1" x14ac:dyDescent="0.35">
      <c r="I709" s="545"/>
    </row>
    <row r="710" spans="9:9" s="10" customFormat="1" x14ac:dyDescent="0.35">
      <c r="I710" s="545"/>
    </row>
    <row r="711" spans="9:9" s="10" customFormat="1" x14ac:dyDescent="0.35">
      <c r="I711" s="545"/>
    </row>
    <row r="712" spans="9:9" s="10" customFormat="1" x14ac:dyDescent="0.35">
      <c r="I712" s="545"/>
    </row>
    <row r="713" spans="9:9" s="10" customFormat="1" x14ac:dyDescent="0.35">
      <c r="I713" s="545"/>
    </row>
    <row r="714" spans="9:9" s="10" customFormat="1" x14ac:dyDescent="0.35">
      <c r="I714" s="545"/>
    </row>
    <row r="715" spans="9:9" s="10" customFormat="1" x14ac:dyDescent="0.35">
      <c r="I715" s="545"/>
    </row>
    <row r="716" spans="9:9" s="10" customFormat="1" x14ac:dyDescent="0.35">
      <c r="I716" s="545"/>
    </row>
    <row r="717" spans="9:9" s="10" customFormat="1" x14ac:dyDescent="0.35">
      <c r="I717" s="545"/>
    </row>
    <row r="718" spans="9:9" s="10" customFormat="1" x14ac:dyDescent="0.35">
      <c r="I718" s="545"/>
    </row>
    <row r="719" spans="9:9" s="10" customFormat="1" x14ac:dyDescent="0.35">
      <c r="I719" s="545"/>
    </row>
    <row r="720" spans="9:9" s="10" customFormat="1" x14ac:dyDescent="0.35">
      <c r="I720" s="545"/>
    </row>
    <row r="721" spans="9:9" s="10" customFormat="1" x14ac:dyDescent="0.35">
      <c r="I721" s="545"/>
    </row>
    <row r="722" spans="9:9" s="10" customFormat="1" x14ac:dyDescent="0.35">
      <c r="I722" s="545"/>
    </row>
    <row r="723" spans="9:9" s="10" customFormat="1" x14ac:dyDescent="0.35">
      <c r="I723" s="545"/>
    </row>
    <row r="724" spans="9:9" s="10" customFormat="1" x14ac:dyDescent="0.35">
      <c r="I724" s="545"/>
    </row>
    <row r="725" spans="9:9" s="10" customFormat="1" x14ac:dyDescent="0.35">
      <c r="I725" s="545"/>
    </row>
    <row r="726" spans="9:9" s="10" customFormat="1" x14ac:dyDescent="0.35">
      <c r="I726" s="545"/>
    </row>
    <row r="727" spans="9:9" s="10" customFormat="1" x14ac:dyDescent="0.35">
      <c r="I727" s="545"/>
    </row>
    <row r="728" spans="9:9" s="10" customFormat="1" x14ac:dyDescent="0.35">
      <c r="I728" s="545"/>
    </row>
    <row r="729" spans="9:9" s="10" customFormat="1" x14ac:dyDescent="0.35">
      <c r="I729" s="545"/>
    </row>
    <row r="730" spans="9:9" s="10" customFormat="1" x14ac:dyDescent="0.35">
      <c r="I730" s="545"/>
    </row>
    <row r="731" spans="9:9" s="10" customFormat="1" x14ac:dyDescent="0.35">
      <c r="I731" s="545"/>
    </row>
    <row r="732" spans="9:9" s="10" customFormat="1" x14ac:dyDescent="0.35">
      <c r="I732" s="545"/>
    </row>
    <row r="733" spans="9:9" s="10" customFormat="1" x14ac:dyDescent="0.35">
      <c r="I733" s="545"/>
    </row>
    <row r="734" spans="9:9" s="10" customFormat="1" x14ac:dyDescent="0.35">
      <c r="I734" s="545"/>
    </row>
    <row r="735" spans="9:9" s="10" customFormat="1" x14ac:dyDescent="0.35">
      <c r="I735" s="545"/>
    </row>
    <row r="736" spans="9:9" s="10" customFormat="1" x14ac:dyDescent="0.35">
      <c r="I736" s="545"/>
    </row>
    <row r="737" spans="9:9" s="10" customFormat="1" x14ac:dyDescent="0.35">
      <c r="I737" s="545"/>
    </row>
    <row r="738" spans="9:9" s="10" customFormat="1" x14ac:dyDescent="0.35">
      <c r="I738" s="545"/>
    </row>
    <row r="739" spans="9:9" s="10" customFormat="1" x14ac:dyDescent="0.35">
      <c r="I739" s="545"/>
    </row>
    <row r="740" spans="9:9" s="10" customFormat="1" x14ac:dyDescent="0.35">
      <c r="I740" s="545"/>
    </row>
    <row r="741" spans="9:9" s="10" customFormat="1" x14ac:dyDescent="0.35">
      <c r="I741" s="545"/>
    </row>
    <row r="742" spans="9:9" s="10" customFormat="1" x14ac:dyDescent="0.35">
      <c r="I742" s="545"/>
    </row>
    <row r="743" spans="9:9" s="10" customFormat="1" x14ac:dyDescent="0.35">
      <c r="I743" s="545"/>
    </row>
    <row r="744" spans="9:9" s="10" customFormat="1" x14ac:dyDescent="0.35">
      <c r="I744" s="545"/>
    </row>
    <row r="745" spans="9:9" s="10" customFormat="1" x14ac:dyDescent="0.35">
      <c r="I745" s="545"/>
    </row>
    <row r="746" spans="9:9" s="10" customFormat="1" x14ac:dyDescent="0.35">
      <c r="I746" s="545"/>
    </row>
    <row r="747" spans="9:9" s="10" customFormat="1" x14ac:dyDescent="0.35">
      <c r="I747" s="545"/>
    </row>
    <row r="748" spans="9:9" s="10" customFormat="1" x14ac:dyDescent="0.35">
      <c r="I748" s="545"/>
    </row>
    <row r="749" spans="9:9" s="10" customFormat="1" x14ac:dyDescent="0.35">
      <c r="I749" s="545"/>
    </row>
    <row r="750" spans="9:9" s="10" customFormat="1" x14ac:dyDescent="0.35">
      <c r="I750" s="545"/>
    </row>
    <row r="751" spans="9:9" s="10" customFormat="1" x14ac:dyDescent="0.35">
      <c r="I751" s="545"/>
    </row>
    <row r="752" spans="9:9" s="10" customFormat="1" x14ac:dyDescent="0.35">
      <c r="I752" s="545"/>
    </row>
    <row r="753" spans="9:9" s="10" customFormat="1" x14ac:dyDescent="0.35">
      <c r="I753" s="545"/>
    </row>
    <row r="754" spans="9:9" s="10" customFormat="1" x14ac:dyDescent="0.35">
      <c r="I754" s="545"/>
    </row>
    <row r="755" spans="9:9" s="10" customFormat="1" x14ac:dyDescent="0.35">
      <c r="I755" s="545"/>
    </row>
    <row r="756" spans="9:9" s="10" customFormat="1" x14ac:dyDescent="0.35">
      <c r="I756" s="545"/>
    </row>
    <row r="757" spans="9:9" s="10" customFormat="1" x14ac:dyDescent="0.35">
      <c r="I757" s="545"/>
    </row>
    <row r="758" spans="9:9" s="10" customFormat="1" x14ac:dyDescent="0.35">
      <c r="I758" s="545"/>
    </row>
    <row r="759" spans="9:9" s="10" customFormat="1" x14ac:dyDescent="0.35">
      <c r="I759" s="545"/>
    </row>
    <row r="760" spans="9:9" s="10" customFormat="1" x14ac:dyDescent="0.35">
      <c r="I760" s="545"/>
    </row>
    <row r="761" spans="9:9" s="10" customFormat="1" x14ac:dyDescent="0.35">
      <c r="I761" s="545"/>
    </row>
    <row r="762" spans="9:9" s="10" customFormat="1" x14ac:dyDescent="0.35">
      <c r="I762" s="545"/>
    </row>
    <row r="763" spans="9:9" s="10" customFormat="1" x14ac:dyDescent="0.35">
      <c r="I763" s="545"/>
    </row>
    <row r="764" spans="9:9" s="10" customFormat="1" x14ac:dyDescent="0.35">
      <c r="I764" s="545"/>
    </row>
    <row r="765" spans="9:9" s="10" customFormat="1" x14ac:dyDescent="0.35">
      <c r="I765" s="545"/>
    </row>
    <row r="766" spans="9:9" s="10" customFormat="1" x14ac:dyDescent="0.35">
      <c r="I766" s="545"/>
    </row>
    <row r="767" spans="9:9" s="10" customFormat="1" x14ac:dyDescent="0.35">
      <c r="I767" s="545"/>
    </row>
    <row r="768" spans="9:9" s="10" customFormat="1" x14ac:dyDescent="0.35">
      <c r="I768" s="545"/>
    </row>
    <row r="769" spans="9:9" s="10" customFormat="1" x14ac:dyDescent="0.35">
      <c r="I769" s="545"/>
    </row>
    <row r="770" spans="9:9" s="10" customFormat="1" x14ac:dyDescent="0.35">
      <c r="I770" s="545"/>
    </row>
    <row r="771" spans="9:9" s="10" customFormat="1" x14ac:dyDescent="0.35">
      <c r="I771" s="545"/>
    </row>
    <row r="772" spans="9:9" s="10" customFormat="1" x14ac:dyDescent="0.35">
      <c r="I772" s="545"/>
    </row>
    <row r="773" spans="9:9" s="10" customFormat="1" x14ac:dyDescent="0.35">
      <c r="I773" s="545"/>
    </row>
    <row r="774" spans="9:9" s="10" customFormat="1" x14ac:dyDescent="0.35">
      <c r="I774" s="545"/>
    </row>
    <row r="775" spans="9:9" s="10" customFormat="1" x14ac:dyDescent="0.35">
      <c r="I775" s="545"/>
    </row>
    <row r="776" spans="9:9" s="10" customFormat="1" x14ac:dyDescent="0.35">
      <c r="I776" s="545"/>
    </row>
    <row r="777" spans="9:9" s="10" customFormat="1" x14ac:dyDescent="0.35">
      <c r="I777" s="545"/>
    </row>
    <row r="778" spans="9:9" s="10" customFormat="1" x14ac:dyDescent="0.35">
      <c r="I778" s="545"/>
    </row>
    <row r="779" spans="9:9" s="10" customFormat="1" x14ac:dyDescent="0.35">
      <c r="I779" s="545"/>
    </row>
    <row r="780" spans="9:9" s="10" customFormat="1" x14ac:dyDescent="0.35">
      <c r="I780" s="545"/>
    </row>
    <row r="781" spans="9:9" s="10" customFormat="1" x14ac:dyDescent="0.35">
      <c r="I781" s="545"/>
    </row>
    <row r="782" spans="9:9" s="10" customFormat="1" x14ac:dyDescent="0.35">
      <c r="I782" s="545"/>
    </row>
    <row r="783" spans="9:9" s="10" customFormat="1" x14ac:dyDescent="0.35">
      <c r="I783" s="545"/>
    </row>
    <row r="784" spans="9:9" s="10" customFormat="1" x14ac:dyDescent="0.35">
      <c r="I784" s="545"/>
    </row>
    <row r="785" spans="9:9" s="10" customFormat="1" x14ac:dyDescent="0.35">
      <c r="I785" s="545"/>
    </row>
    <row r="786" spans="9:9" s="10" customFormat="1" x14ac:dyDescent="0.35">
      <c r="I786" s="545"/>
    </row>
    <row r="787" spans="9:9" s="10" customFormat="1" x14ac:dyDescent="0.35">
      <c r="I787" s="545"/>
    </row>
    <row r="788" spans="9:9" s="10" customFormat="1" x14ac:dyDescent="0.35">
      <c r="I788" s="545"/>
    </row>
    <row r="789" spans="9:9" s="10" customFormat="1" x14ac:dyDescent="0.35">
      <c r="I789" s="545"/>
    </row>
    <row r="790" spans="9:9" s="10" customFormat="1" x14ac:dyDescent="0.35">
      <c r="I790" s="545"/>
    </row>
    <row r="791" spans="9:9" s="10" customFormat="1" x14ac:dyDescent="0.35">
      <c r="I791" s="545"/>
    </row>
    <row r="792" spans="9:9" s="10" customFormat="1" x14ac:dyDescent="0.35">
      <c r="I792" s="545"/>
    </row>
    <row r="793" spans="9:9" s="10" customFormat="1" x14ac:dyDescent="0.35">
      <c r="I793" s="545"/>
    </row>
    <row r="794" spans="9:9" s="10" customFormat="1" x14ac:dyDescent="0.35">
      <c r="I794" s="545"/>
    </row>
    <row r="795" spans="9:9" s="10" customFormat="1" x14ac:dyDescent="0.35">
      <c r="I795" s="545"/>
    </row>
    <row r="796" spans="9:9" s="10" customFormat="1" x14ac:dyDescent="0.35">
      <c r="I796" s="545"/>
    </row>
    <row r="797" spans="9:9" s="10" customFormat="1" x14ac:dyDescent="0.35">
      <c r="I797" s="545"/>
    </row>
    <row r="798" spans="9:9" s="10" customFormat="1" x14ac:dyDescent="0.35">
      <c r="I798" s="545"/>
    </row>
    <row r="799" spans="9:9" s="10" customFormat="1" x14ac:dyDescent="0.35">
      <c r="I799" s="545"/>
    </row>
    <row r="800" spans="9:9" s="10" customFormat="1" x14ac:dyDescent="0.35">
      <c r="I800" s="545"/>
    </row>
    <row r="801" spans="9:9" s="10" customFormat="1" x14ac:dyDescent="0.35">
      <c r="I801" s="545"/>
    </row>
    <row r="802" spans="9:9" s="10" customFormat="1" x14ac:dyDescent="0.35">
      <c r="I802" s="545"/>
    </row>
    <row r="803" spans="9:9" s="10" customFormat="1" x14ac:dyDescent="0.35">
      <c r="I803" s="545"/>
    </row>
    <row r="804" spans="9:9" s="10" customFormat="1" x14ac:dyDescent="0.35">
      <c r="I804" s="545"/>
    </row>
    <row r="805" spans="9:9" s="10" customFormat="1" x14ac:dyDescent="0.35">
      <c r="I805" s="545"/>
    </row>
    <row r="806" spans="9:9" s="10" customFormat="1" x14ac:dyDescent="0.35">
      <c r="I806" s="545"/>
    </row>
    <row r="807" spans="9:9" s="10" customFormat="1" x14ac:dyDescent="0.35">
      <c r="I807" s="545"/>
    </row>
    <row r="808" spans="9:9" s="10" customFormat="1" x14ac:dyDescent="0.35">
      <c r="I808" s="545"/>
    </row>
    <row r="809" spans="9:9" s="10" customFormat="1" x14ac:dyDescent="0.35">
      <c r="I809" s="545"/>
    </row>
    <row r="810" spans="9:9" s="10" customFormat="1" x14ac:dyDescent="0.35">
      <c r="I810" s="545"/>
    </row>
    <row r="811" spans="9:9" s="10" customFormat="1" x14ac:dyDescent="0.35">
      <c r="I811" s="545"/>
    </row>
    <row r="812" spans="9:9" s="10" customFormat="1" x14ac:dyDescent="0.35">
      <c r="I812" s="545"/>
    </row>
    <row r="813" spans="9:9" s="10" customFormat="1" x14ac:dyDescent="0.35">
      <c r="I813" s="545"/>
    </row>
    <row r="814" spans="9:9" s="10" customFormat="1" x14ac:dyDescent="0.35">
      <c r="I814" s="545"/>
    </row>
    <row r="815" spans="9:9" s="10" customFormat="1" x14ac:dyDescent="0.35">
      <c r="I815" s="545"/>
    </row>
    <row r="816" spans="9:9" s="10" customFormat="1" x14ac:dyDescent="0.35">
      <c r="I816" s="545"/>
    </row>
    <row r="817" spans="9:9" s="10" customFormat="1" x14ac:dyDescent="0.35">
      <c r="I817" s="545"/>
    </row>
    <row r="818" spans="9:9" s="10" customFormat="1" x14ac:dyDescent="0.35">
      <c r="I818" s="545"/>
    </row>
    <row r="819" spans="9:9" s="10" customFormat="1" x14ac:dyDescent="0.35">
      <c r="I819" s="545"/>
    </row>
    <row r="820" spans="9:9" s="10" customFormat="1" x14ac:dyDescent="0.35">
      <c r="I820" s="545"/>
    </row>
    <row r="821" spans="9:9" s="10" customFormat="1" x14ac:dyDescent="0.35">
      <c r="I821" s="545"/>
    </row>
    <row r="822" spans="9:9" s="10" customFormat="1" x14ac:dyDescent="0.35">
      <c r="I822" s="545"/>
    </row>
    <row r="823" spans="9:9" s="10" customFormat="1" x14ac:dyDescent="0.35">
      <c r="I823" s="545"/>
    </row>
    <row r="824" spans="9:9" s="10" customFormat="1" x14ac:dyDescent="0.35">
      <c r="I824" s="545"/>
    </row>
    <row r="825" spans="9:9" s="10" customFormat="1" x14ac:dyDescent="0.35">
      <c r="I825" s="545"/>
    </row>
    <row r="826" spans="9:9" s="10" customFormat="1" x14ac:dyDescent="0.35">
      <c r="I826" s="545"/>
    </row>
    <row r="827" spans="9:9" s="10" customFormat="1" x14ac:dyDescent="0.35">
      <c r="I827" s="545"/>
    </row>
    <row r="828" spans="9:9" s="10" customFormat="1" x14ac:dyDescent="0.35">
      <c r="I828" s="545"/>
    </row>
    <row r="829" spans="9:9" s="10" customFormat="1" x14ac:dyDescent="0.35">
      <c r="I829" s="545"/>
    </row>
    <row r="830" spans="9:9" s="10" customFormat="1" x14ac:dyDescent="0.35">
      <c r="I830" s="545"/>
    </row>
    <row r="831" spans="9:9" s="10" customFormat="1" x14ac:dyDescent="0.35">
      <c r="I831" s="545"/>
    </row>
    <row r="832" spans="9:9" s="10" customFormat="1" x14ac:dyDescent="0.35">
      <c r="I832" s="545"/>
    </row>
    <row r="833" spans="9:9" s="10" customFormat="1" x14ac:dyDescent="0.35">
      <c r="I833" s="545"/>
    </row>
    <row r="834" spans="9:9" s="10" customFormat="1" x14ac:dyDescent="0.35">
      <c r="I834" s="545"/>
    </row>
    <row r="835" spans="9:9" s="10" customFormat="1" x14ac:dyDescent="0.35">
      <c r="I835" s="545"/>
    </row>
    <row r="836" spans="9:9" s="10" customFormat="1" x14ac:dyDescent="0.35">
      <c r="I836" s="545"/>
    </row>
    <row r="837" spans="9:9" s="10" customFormat="1" x14ac:dyDescent="0.35">
      <c r="I837" s="545"/>
    </row>
    <row r="838" spans="9:9" s="10" customFormat="1" x14ac:dyDescent="0.35">
      <c r="I838" s="545"/>
    </row>
    <row r="839" spans="9:9" s="10" customFormat="1" x14ac:dyDescent="0.35">
      <c r="I839" s="545"/>
    </row>
    <row r="840" spans="9:9" s="10" customFormat="1" x14ac:dyDescent="0.35">
      <c r="I840" s="545"/>
    </row>
    <row r="841" spans="9:9" s="10" customFormat="1" x14ac:dyDescent="0.35">
      <c r="I841" s="545"/>
    </row>
    <row r="842" spans="9:9" s="10" customFormat="1" x14ac:dyDescent="0.35">
      <c r="I842" s="545"/>
    </row>
    <row r="843" spans="9:9" s="10" customFormat="1" x14ac:dyDescent="0.35">
      <c r="I843" s="545"/>
    </row>
    <row r="844" spans="9:9" s="10" customFormat="1" x14ac:dyDescent="0.35">
      <c r="I844" s="545"/>
    </row>
    <row r="845" spans="9:9" s="10" customFormat="1" x14ac:dyDescent="0.35">
      <c r="I845" s="545"/>
    </row>
    <row r="846" spans="9:9" s="10" customFormat="1" x14ac:dyDescent="0.35">
      <c r="I846" s="545"/>
    </row>
    <row r="847" spans="9:9" s="10" customFormat="1" x14ac:dyDescent="0.35">
      <c r="I847" s="545"/>
    </row>
    <row r="848" spans="9:9" s="10" customFormat="1" x14ac:dyDescent="0.35">
      <c r="I848" s="545"/>
    </row>
    <row r="849" spans="9:9" s="10" customFormat="1" x14ac:dyDescent="0.35">
      <c r="I849" s="545"/>
    </row>
    <row r="850" spans="9:9" s="10" customFormat="1" x14ac:dyDescent="0.35">
      <c r="I850" s="545"/>
    </row>
    <row r="851" spans="9:9" s="10" customFormat="1" x14ac:dyDescent="0.35">
      <c r="I851" s="545"/>
    </row>
    <row r="852" spans="9:9" s="10" customFormat="1" x14ac:dyDescent="0.35">
      <c r="I852" s="545"/>
    </row>
    <row r="853" spans="9:9" s="10" customFormat="1" x14ac:dyDescent="0.35">
      <c r="I853" s="545"/>
    </row>
    <row r="854" spans="9:9" s="10" customFormat="1" x14ac:dyDescent="0.35">
      <c r="I854" s="545"/>
    </row>
    <row r="855" spans="9:9" s="10" customFormat="1" x14ac:dyDescent="0.35">
      <c r="I855" s="545"/>
    </row>
    <row r="856" spans="9:9" s="10" customFormat="1" x14ac:dyDescent="0.35">
      <c r="I856" s="545"/>
    </row>
    <row r="857" spans="9:9" s="10" customFormat="1" x14ac:dyDescent="0.35">
      <c r="I857" s="545"/>
    </row>
    <row r="858" spans="9:9" s="10" customFormat="1" x14ac:dyDescent="0.35">
      <c r="I858" s="545"/>
    </row>
    <row r="859" spans="9:9" s="10" customFormat="1" x14ac:dyDescent="0.35">
      <c r="I859" s="545"/>
    </row>
    <row r="860" spans="9:9" s="10" customFormat="1" x14ac:dyDescent="0.35">
      <c r="I860" s="545"/>
    </row>
    <row r="861" spans="9:9" s="10" customFormat="1" x14ac:dyDescent="0.35">
      <c r="I861" s="545"/>
    </row>
    <row r="862" spans="9:9" s="10" customFormat="1" x14ac:dyDescent="0.35">
      <c r="I862" s="545"/>
    </row>
    <row r="863" spans="9:9" s="10" customFormat="1" x14ac:dyDescent="0.35">
      <c r="I863" s="545"/>
    </row>
    <row r="864" spans="9:9" s="10" customFormat="1" x14ac:dyDescent="0.35">
      <c r="I864" s="545"/>
    </row>
    <row r="865" spans="9:9" s="10" customFormat="1" x14ac:dyDescent="0.35">
      <c r="I865" s="545"/>
    </row>
    <row r="866" spans="9:9" s="10" customFormat="1" x14ac:dyDescent="0.35">
      <c r="I866" s="545"/>
    </row>
    <row r="867" spans="9:9" s="10" customFormat="1" x14ac:dyDescent="0.35">
      <c r="I867" s="545"/>
    </row>
    <row r="868" spans="9:9" s="10" customFormat="1" x14ac:dyDescent="0.35">
      <c r="I868" s="545"/>
    </row>
    <row r="869" spans="9:9" s="10" customFormat="1" x14ac:dyDescent="0.35">
      <c r="I869" s="545"/>
    </row>
    <row r="870" spans="9:9" s="10" customFormat="1" x14ac:dyDescent="0.35">
      <c r="I870" s="545"/>
    </row>
    <row r="871" spans="9:9" s="10" customFormat="1" x14ac:dyDescent="0.35">
      <c r="I871" s="545"/>
    </row>
    <row r="872" spans="9:9" s="10" customFormat="1" x14ac:dyDescent="0.35">
      <c r="I872" s="545"/>
    </row>
    <row r="873" spans="9:9" s="10" customFormat="1" x14ac:dyDescent="0.35">
      <c r="I873" s="545"/>
    </row>
    <row r="874" spans="9:9" s="10" customFormat="1" x14ac:dyDescent="0.35">
      <c r="I874" s="545"/>
    </row>
    <row r="875" spans="9:9" s="10" customFormat="1" x14ac:dyDescent="0.35">
      <c r="I875" s="545"/>
    </row>
    <row r="876" spans="9:9" s="10" customFormat="1" x14ac:dyDescent="0.35">
      <c r="I876" s="545"/>
    </row>
    <row r="877" spans="9:9" s="10" customFormat="1" x14ac:dyDescent="0.35">
      <c r="I877" s="545"/>
    </row>
    <row r="878" spans="9:9" s="10" customFormat="1" x14ac:dyDescent="0.35">
      <c r="I878" s="545"/>
    </row>
    <row r="879" spans="9:9" s="10" customFormat="1" x14ac:dyDescent="0.35">
      <c r="I879" s="545"/>
    </row>
    <row r="880" spans="9:9" s="10" customFormat="1" x14ac:dyDescent="0.35">
      <c r="I880" s="545"/>
    </row>
    <row r="881" spans="9:9" s="10" customFormat="1" x14ac:dyDescent="0.35">
      <c r="I881" s="545"/>
    </row>
    <row r="882" spans="9:9" s="10" customFormat="1" x14ac:dyDescent="0.35">
      <c r="I882" s="545"/>
    </row>
    <row r="883" spans="9:9" s="10" customFormat="1" x14ac:dyDescent="0.35">
      <c r="I883" s="545"/>
    </row>
    <row r="884" spans="9:9" s="10" customFormat="1" x14ac:dyDescent="0.35">
      <c r="I884" s="545"/>
    </row>
    <row r="885" spans="9:9" s="10" customFormat="1" x14ac:dyDescent="0.35">
      <c r="I885" s="545"/>
    </row>
    <row r="886" spans="9:9" s="10" customFormat="1" x14ac:dyDescent="0.35">
      <c r="I886" s="545"/>
    </row>
    <row r="887" spans="9:9" s="10" customFormat="1" x14ac:dyDescent="0.35">
      <c r="I887" s="545"/>
    </row>
    <row r="888" spans="9:9" s="10" customFormat="1" x14ac:dyDescent="0.35">
      <c r="I888" s="545"/>
    </row>
    <row r="889" spans="9:9" s="10" customFormat="1" x14ac:dyDescent="0.35">
      <c r="I889" s="545"/>
    </row>
    <row r="890" spans="9:9" s="10" customFormat="1" x14ac:dyDescent="0.35">
      <c r="I890" s="545"/>
    </row>
    <row r="891" spans="9:9" s="10" customFormat="1" x14ac:dyDescent="0.35">
      <c r="I891" s="545"/>
    </row>
    <row r="892" spans="9:9" s="10" customFormat="1" x14ac:dyDescent="0.35">
      <c r="I892" s="545"/>
    </row>
    <row r="893" spans="9:9" s="10" customFormat="1" x14ac:dyDescent="0.35">
      <c r="I893" s="545"/>
    </row>
    <row r="894" spans="9:9" s="10" customFormat="1" x14ac:dyDescent="0.35">
      <c r="I894" s="545"/>
    </row>
    <row r="895" spans="9:9" s="10" customFormat="1" x14ac:dyDescent="0.35">
      <c r="I895" s="545"/>
    </row>
    <row r="896" spans="9:9" s="10" customFormat="1" x14ac:dyDescent="0.35">
      <c r="I896" s="545"/>
    </row>
    <row r="897" spans="9:9" s="10" customFormat="1" x14ac:dyDescent="0.35">
      <c r="I897" s="545"/>
    </row>
    <row r="898" spans="9:9" s="10" customFormat="1" x14ac:dyDescent="0.35">
      <c r="I898" s="545"/>
    </row>
    <row r="899" spans="9:9" s="10" customFormat="1" x14ac:dyDescent="0.35">
      <c r="I899" s="545"/>
    </row>
    <row r="900" spans="9:9" s="10" customFormat="1" x14ac:dyDescent="0.35">
      <c r="I900" s="545"/>
    </row>
    <row r="901" spans="9:9" s="10" customFormat="1" x14ac:dyDescent="0.35">
      <c r="I901" s="545"/>
    </row>
    <row r="902" spans="9:9" s="10" customFormat="1" x14ac:dyDescent="0.35">
      <c r="I902" s="545"/>
    </row>
    <row r="903" spans="9:9" s="10" customFormat="1" x14ac:dyDescent="0.35">
      <c r="I903" s="545"/>
    </row>
    <row r="904" spans="9:9" s="10" customFormat="1" x14ac:dyDescent="0.35">
      <c r="I904" s="545"/>
    </row>
    <row r="905" spans="9:9" s="10" customFormat="1" x14ac:dyDescent="0.35">
      <c r="I905" s="545"/>
    </row>
    <row r="906" spans="9:9" s="10" customFormat="1" x14ac:dyDescent="0.35">
      <c r="I906" s="545"/>
    </row>
    <row r="907" spans="9:9" s="10" customFormat="1" x14ac:dyDescent="0.35">
      <c r="I907" s="545"/>
    </row>
    <row r="908" spans="9:9" s="10" customFormat="1" x14ac:dyDescent="0.35">
      <c r="I908" s="545"/>
    </row>
    <row r="909" spans="9:9" s="10" customFormat="1" x14ac:dyDescent="0.35">
      <c r="I909" s="545"/>
    </row>
    <row r="910" spans="9:9" s="10" customFormat="1" x14ac:dyDescent="0.35">
      <c r="I910" s="545"/>
    </row>
    <row r="911" spans="9:9" s="10" customFormat="1" x14ac:dyDescent="0.35">
      <c r="I911" s="545"/>
    </row>
    <row r="912" spans="9:9" s="10" customFormat="1" x14ac:dyDescent="0.35">
      <c r="I912" s="545"/>
    </row>
    <row r="913" spans="9:9" s="10" customFormat="1" x14ac:dyDescent="0.35">
      <c r="I913" s="545"/>
    </row>
    <row r="914" spans="9:9" s="10" customFormat="1" x14ac:dyDescent="0.35">
      <c r="I914" s="545"/>
    </row>
    <row r="915" spans="9:9" s="10" customFormat="1" x14ac:dyDescent="0.35">
      <c r="I915" s="545"/>
    </row>
    <row r="916" spans="9:9" s="10" customFormat="1" x14ac:dyDescent="0.35">
      <c r="I916" s="545"/>
    </row>
    <row r="917" spans="9:9" s="10" customFormat="1" x14ac:dyDescent="0.35">
      <c r="I917" s="545"/>
    </row>
    <row r="918" spans="9:9" s="10" customFormat="1" x14ac:dyDescent="0.35">
      <c r="I918" s="545"/>
    </row>
    <row r="919" spans="9:9" s="10" customFormat="1" x14ac:dyDescent="0.35">
      <c r="I919" s="545"/>
    </row>
    <row r="920" spans="9:9" s="10" customFormat="1" x14ac:dyDescent="0.35">
      <c r="I920" s="545"/>
    </row>
    <row r="921" spans="9:9" s="10" customFormat="1" x14ac:dyDescent="0.35">
      <c r="I921" s="545"/>
    </row>
    <row r="922" spans="9:9" s="10" customFormat="1" x14ac:dyDescent="0.35">
      <c r="I922" s="545"/>
    </row>
    <row r="923" spans="9:9" s="10" customFormat="1" x14ac:dyDescent="0.35">
      <c r="I923" s="545"/>
    </row>
    <row r="924" spans="9:9" s="10" customFormat="1" x14ac:dyDescent="0.35">
      <c r="I924" s="545"/>
    </row>
    <row r="925" spans="9:9" s="10" customFormat="1" x14ac:dyDescent="0.35">
      <c r="I925" s="545"/>
    </row>
    <row r="926" spans="9:9" s="10" customFormat="1" x14ac:dyDescent="0.35">
      <c r="I926" s="545"/>
    </row>
    <row r="927" spans="9:9" s="10" customFormat="1" x14ac:dyDescent="0.35">
      <c r="I927" s="545"/>
    </row>
    <row r="928" spans="9:9" s="10" customFormat="1" x14ac:dyDescent="0.35">
      <c r="I928" s="545"/>
    </row>
    <row r="929" spans="9:9" s="10" customFormat="1" x14ac:dyDescent="0.35">
      <c r="I929" s="545"/>
    </row>
    <row r="930" spans="9:9" s="10" customFormat="1" x14ac:dyDescent="0.35">
      <c r="I930" s="545"/>
    </row>
    <row r="931" spans="9:9" s="10" customFormat="1" x14ac:dyDescent="0.35">
      <c r="I931" s="545"/>
    </row>
    <row r="932" spans="9:9" s="10" customFormat="1" x14ac:dyDescent="0.35">
      <c r="I932" s="545"/>
    </row>
    <row r="933" spans="9:9" s="10" customFormat="1" x14ac:dyDescent="0.35">
      <c r="I933" s="545"/>
    </row>
    <row r="934" spans="9:9" s="10" customFormat="1" x14ac:dyDescent="0.35">
      <c r="I934" s="545"/>
    </row>
    <row r="935" spans="9:9" s="10" customFormat="1" x14ac:dyDescent="0.35">
      <c r="I935" s="545"/>
    </row>
    <row r="936" spans="9:9" s="10" customFormat="1" x14ac:dyDescent="0.35">
      <c r="I936" s="545"/>
    </row>
    <row r="937" spans="9:9" s="10" customFormat="1" x14ac:dyDescent="0.35">
      <c r="I937" s="545"/>
    </row>
    <row r="938" spans="9:9" s="10" customFormat="1" x14ac:dyDescent="0.35">
      <c r="I938" s="545"/>
    </row>
    <row r="939" spans="9:9" s="10" customFormat="1" x14ac:dyDescent="0.35">
      <c r="I939" s="545"/>
    </row>
    <row r="940" spans="9:9" s="10" customFormat="1" x14ac:dyDescent="0.35">
      <c r="I940" s="545"/>
    </row>
    <row r="941" spans="9:9" s="10" customFormat="1" x14ac:dyDescent="0.35">
      <c r="I941" s="545"/>
    </row>
    <row r="942" spans="9:9" s="10" customFormat="1" x14ac:dyDescent="0.35">
      <c r="I942" s="545"/>
    </row>
    <row r="943" spans="9:9" s="10" customFormat="1" x14ac:dyDescent="0.35">
      <c r="I943" s="545"/>
    </row>
    <row r="944" spans="9:9" s="10" customFormat="1" x14ac:dyDescent="0.35">
      <c r="I944" s="545"/>
    </row>
    <row r="945" spans="9:9" s="10" customFormat="1" x14ac:dyDescent="0.35">
      <c r="I945" s="545"/>
    </row>
    <row r="946" spans="9:9" s="10" customFormat="1" x14ac:dyDescent="0.35">
      <c r="I946" s="545"/>
    </row>
    <row r="947" spans="9:9" s="10" customFormat="1" x14ac:dyDescent="0.35">
      <c r="I947" s="545"/>
    </row>
    <row r="948" spans="9:9" s="10" customFormat="1" x14ac:dyDescent="0.35">
      <c r="I948" s="545"/>
    </row>
    <row r="949" spans="9:9" s="10" customFormat="1" x14ac:dyDescent="0.35">
      <c r="I949" s="545"/>
    </row>
    <row r="950" spans="9:9" s="10" customFormat="1" x14ac:dyDescent="0.35">
      <c r="I950" s="545"/>
    </row>
    <row r="951" spans="9:9" s="10" customFormat="1" x14ac:dyDescent="0.35">
      <c r="I951" s="545"/>
    </row>
    <row r="952" spans="9:9" s="10" customFormat="1" x14ac:dyDescent="0.35">
      <c r="I952" s="545"/>
    </row>
    <row r="953" spans="9:9" s="10" customFormat="1" x14ac:dyDescent="0.35">
      <c r="I953" s="545"/>
    </row>
    <row r="954" spans="9:9" s="10" customFormat="1" x14ac:dyDescent="0.35">
      <c r="I954" s="545"/>
    </row>
    <row r="955" spans="9:9" s="10" customFormat="1" x14ac:dyDescent="0.35">
      <c r="I955" s="545"/>
    </row>
    <row r="956" spans="9:9" s="10" customFormat="1" x14ac:dyDescent="0.35">
      <c r="I956" s="545"/>
    </row>
    <row r="957" spans="9:9" s="10" customFormat="1" x14ac:dyDescent="0.35">
      <c r="I957" s="545"/>
    </row>
    <row r="958" spans="9:9" s="10" customFormat="1" x14ac:dyDescent="0.35">
      <c r="I958" s="545"/>
    </row>
    <row r="959" spans="9:9" s="10" customFormat="1" x14ac:dyDescent="0.35">
      <c r="I959" s="545"/>
    </row>
    <row r="960" spans="9:9" s="10" customFormat="1" x14ac:dyDescent="0.35">
      <c r="I960" s="545"/>
    </row>
    <row r="961" spans="9:9" s="10" customFormat="1" x14ac:dyDescent="0.35">
      <c r="I961" s="545"/>
    </row>
    <row r="962" spans="9:9" s="10" customFormat="1" x14ac:dyDescent="0.35">
      <c r="I962" s="545"/>
    </row>
    <row r="963" spans="9:9" s="10" customFormat="1" x14ac:dyDescent="0.35">
      <c r="I963" s="545"/>
    </row>
    <row r="964" spans="9:9" s="10" customFormat="1" x14ac:dyDescent="0.35">
      <c r="I964" s="545"/>
    </row>
    <row r="965" spans="9:9" s="10" customFormat="1" x14ac:dyDescent="0.35">
      <c r="I965" s="545"/>
    </row>
    <row r="966" spans="9:9" s="10" customFormat="1" x14ac:dyDescent="0.35">
      <c r="I966" s="545"/>
    </row>
    <row r="967" spans="9:9" s="10" customFormat="1" x14ac:dyDescent="0.35">
      <c r="I967" s="545"/>
    </row>
    <row r="968" spans="9:9" s="10" customFormat="1" x14ac:dyDescent="0.35">
      <c r="I968" s="545"/>
    </row>
    <row r="969" spans="9:9" s="10" customFormat="1" x14ac:dyDescent="0.35">
      <c r="I969" s="545"/>
    </row>
    <row r="970" spans="9:9" s="10" customFormat="1" x14ac:dyDescent="0.35">
      <c r="I970" s="545"/>
    </row>
    <row r="971" spans="9:9" s="10" customFormat="1" x14ac:dyDescent="0.35">
      <c r="I971" s="545"/>
    </row>
    <row r="972" spans="9:9" s="10" customFormat="1" x14ac:dyDescent="0.35">
      <c r="I972" s="545"/>
    </row>
    <row r="973" spans="9:9" s="10" customFormat="1" x14ac:dyDescent="0.35">
      <c r="I973" s="545"/>
    </row>
    <row r="974" spans="9:9" s="10" customFormat="1" x14ac:dyDescent="0.35">
      <c r="I974" s="545"/>
    </row>
    <row r="975" spans="9:9" s="10" customFormat="1" x14ac:dyDescent="0.35">
      <c r="I975" s="545"/>
    </row>
    <row r="976" spans="9:9" s="10" customFormat="1" x14ac:dyDescent="0.35">
      <c r="I976" s="545"/>
    </row>
    <row r="977" spans="9:9" s="10" customFormat="1" x14ac:dyDescent="0.35">
      <c r="I977" s="545"/>
    </row>
    <row r="978" spans="9:9" s="10" customFormat="1" x14ac:dyDescent="0.35">
      <c r="I978" s="545"/>
    </row>
    <row r="979" spans="9:9" s="10" customFormat="1" x14ac:dyDescent="0.35">
      <c r="I979" s="545"/>
    </row>
    <row r="980" spans="9:9" s="10" customFormat="1" x14ac:dyDescent="0.35">
      <c r="I980" s="545"/>
    </row>
    <row r="981" spans="9:9" s="10" customFormat="1" x14ac:dyDescent="0.35">
      <c r="I981" s="545"/>
    </row>
    <row r="982" spans="9:9" s="10" customFormat="1" x14ac:dyDescent="0.35">
      <c r="I982" s="545"/>
    </row>
    <row r="983" spans="9:9" s="10" customFormat="1" x14ac:dyDescent="0.35">
      <c r="I983" s="545"/>
    </row>
    <row r="984" spans="9:9" s="10" customFormat="1" x14ac:dyDescent="0.35">
      <c r="I984" s="545"/>
    </row>
    <row r="985" spans="9:9" s="10" customFormat="1" x14ac:dyDescent="0.35">
      <c r="I985" s="545"/>
    </row>
    <row r="986" spans="9:9" s="10" customFormat="1" x14ac:dyDescent="0.35">
      <c r="I986" s="545"/>
    </row>
    <row r="987" spans="9:9" s="10" customFormat="1" x14ac:dyDescent="0.35">
      <c r="I987" s="545"/>
    </row>
    <row r="988" spans="9:9" s="10" customFormat="1" x14ac:dyDescent="0.35">
      <c r="I988" s="545"/>
    </row>
    <row r="989" spans="9:9" s="10" customFormat="1" x14ac:dyDescent="0.35">
      <c r="I989" s="545"/>
    </row>
    <row r="990" spans="9:9" s="10" customFormat="1" x14ac:dyDescent="0.35">
      <c r="I990" s="545"/>
    </row>
    <row r="991" spans="9:9" s="10" customFormat="1" x14ac:dyDescent="0.35">
      <c r="I991" s="545"/>
    </row>
    <row r="992" spans="9:9" s="10" customFormat="1" x14ac:dyDescent="0.35">
      <c r="I992" s="545"/>
    </row>
    <row r="993" spans="9:9" s="10" customFormat="1" x14ac:dyDescent="0.35">
      <c r="I993" s="545"/>
    </row>
    <row r="994" spans="9:9" s="10" customFormat="1" x14ac:dyDescent="0.35">
      <c r="I994" s="545"/>
    </row>
    <row r="995" spans="9:9" s="10" customFormat="1" x14ac:dyDescent="0.35">
      <c r="I995" s="545"/>
    </row>
    <row r="996" spans="9:9" s="10" customFormat="1" x14ac:dyDescent="0.35">
      <c r="I996" s="545"/>
    </row>
    <row r="997" spans="9:9" s="10" customFormat="1" x14ac:dyDescent="0.35">
      <c r="I997" s="545"/>
    </row>
    <row r="998" spans="9:9" s="10" customFormat="1" x14ac:dyDescent="0.35">
      <c r="I998" s="545"/>
    </row>
    <row r="999" spans="9:9" s="10" customFormat="1" x14ac:dyDescent="0.35">
      <c r="I999" s="545"/>
    </row>
    <row r="1000" spans="9:9" s="10" customFormat="1" x14ac:dyDescent="0.35">
      <c r="I1000" s="545"/>
    </row>
    <row r="1001" spans="9:9" s="10" customFormat="1" x14ac:dyDescent="0.35">
      <c r="I1001" s="545"/>
    </row>
    <row r="1002" spans="9:9" s="10" customFormat="1" x14ac:dyDescent="0.35">
      <c r="I1002" s="545"/>
    </row>
    <row r="1003" spans="9:9" s="10" customFormat="1" x14ac:dyDescent="0.35">
      <c r="I1003" s="545"/>
    </row>
    <row r="1004" spans="9:9" s="10" customFormat="1" x14ac:dyDescent="0.35">
      <c r="I1004" s="545"/>
    </row>
    <row r="1005" spans="9:9" s="10" customFormat="1" x14ac:dyDescent="0.35">
      <c r="I1005" s="545"/>
    </row>
    <row r="1006" spans="9:9" s="10" customFormat="1" x14ac:dyDescent="0.35">
      <c r="I1006" s="545"/>
    </row>
    <row r="1007" spans="9:9" s="10" customFormat="1" x14ac:dyDescent="0.35">
      <c r="I1007" s="545"/>
    </row>
    <row r="1008" spans="9:9" s="10" customFormat="1" x14ac:dyDescent="0.35">
      <c r="I1008" s="545"/>
    </row>
    <row r="1009" spans="9:9" s="10" customFormat="1" x14ac:dyDescent="0.35">
      <c r="I1009" s="545"/>
    </row>
    <row r="1010" spans="9:9" s="10" customFormat="1" x14ac:dyDescent="0.35">
      <c r="I1010" s="545"/>
    </row>
    <row r="1011" spans="9:9" s="10" customFormat="1" x14ac:dyDescent="0.35">
      <c r="I1011" s="545"/>
    </row>
    <row r="1012" spans="9:9" s="10" customFormat="1" x14ac:dyDescent="0.35">
      <c r="I1012" s="545"/>
    </row>
    <row r="1013" spans="9:9" s="10" customFormat="1" x14ac:dyDescent="0.35">
      <c r="I1013" s="545"/>
    </row>
    <row r="1014" spans="9:9" s="10" customFormat="1" x14ac:dyDescent="0.35">
      <c r="I1014" s="545"/>
    </row>
    <row r="1015" spans="9:9" s="10" customFormat="1" x14ac:dyDescent="0.35">
      <c r="I1015" s="545"/>
    </row>
    <row r="1016" spans="9:9" s="10" customFormat="1" x14ac:dyDescent="0.35">
      <c r="I1016" s="545"/>
    </row>
    <row r="1017" spans="9:9" s="10" customFormat="1" x14ac:dyDescent="0.35">
      <c r="I1017" s="545"/>
    </row>
    <row r="1018" spans="9:9" s="10" customFormat="1" x14ac:dyDescent="0.35">
      <c r="I1018" s="545"/>
    </row>
    <row r="1019" spans="9:9" s="10" customFormat="1" x14ac:dyDescent="0.35">
      <c r="I1019" s="545"/>
    </row>
    <row r="1020" spans="9:9" s="10" customFormat="1" x14ac:dyDescent="0.35">
      <c r="I1020" s="545"/>
    </row>
    <row r="1021" spans="9:9" s="10" customFormat="1" x14ac:dyDescent="0.35">
      <c r="I1021" s="545"/>
    </row>
    <row r="1022" spans="9:9" s="10" customFormat="1" x14ac:dyDescent="0.35">
      <c r="I1022" s="545"/>
    </row>
    <row r="1023" spans="9:9" s="10" customFormat="1" x14ac:dyDescent="0.35">
      <c r="I1023" s="545"/>
    </row>
    <row r="1024" spans="9:9" s="10" customFormat="1" x14ac:dyDescent="0.35">
      <c r="I1024" s="545"/>
    </row>
    <row r="1025" spans="9:9" s="10" customFormat="1" x14ac:dyDescent="0.35">
      <c r="I1025" s="545"/>
    </row>
    <row r="1026" spans="9:9" s="10" customFormat="1" x14ac:dyDescent="0.35">
      <c r="I1026" s="545"/>
    </row>
    <row r="1027" spans="9:9" s="10" customFormat="1" x14ac:dyDescent="0.35">
      <c r="I1027" s="545"/>
    </row>
    <row r="1028" spans="9:9" s="10" customFormat="1" x14ac:dyDescent="0.35">
      <c r="I1028" s="545"/>
    </row>
    <row r="1029" spans="9:9" s="10" customFormat="1" x14ac:dyDescent="0.35">
      <c r="I1029" s="545"/>
    </row>
    <row r="1030" spans="9:9" s="10" customFormat="1" x14ac:dyDescent="0.35">
      <c r="I1030" s="545"/>
    </row>
    <row r="1031" spans="9:9" s="10" customFormat="1" x14ac:dyDescent="0.35">
      <c r="I1031" s="545"/>
    </row>
    <row r="1032" spans="9:9" s="10" customFormat="1" x14ac:dyDescent="0.35">
      <c r="I1032" s="545"/>
    </row>
    <row r="1033" spans="9:9" s="10" customFormat="1" x14ac:dyDescent="0.35">
      <c r="I1033" s="545"/>
    </row>
    <row r="1034" spans="9:9" s="10" customFormat="1" x14ac:dyDescent="0.35">
      <c r="I1034" s="545"/>
    </row>
    <row r="1035" spans="9:9" s="10" customFormat="1" x14ac:dyDescent="0.35">
      <c r="I1035" s="545"/>
    </row>
    <row r="1036" spans="9:9" s="10" customFormat="1" x14ac:dyDescent="0.35">
      <c r="I1036" s="545"/>
    </row>
    <row r="1037" spans="9:9" s="10" customFormat="1" x14ac:dyDescent="0.35">
      <c r="I1037" s="545"/>
    </row>
    <row r="1038" spans="9:9" s="10" customFormat="1" x14ac:dyDescent="0.35">
      <c r="I1038" s="545"/>
    </row>
    <row r="1039" spans="9:9" s="10" customFormat="1" x14ac:dyDescent="0.35">
      <c r="I1039" s="545"/>
    </row>
    <row r="1040" spans="9:9" s="10" customFormat="1" x14ac:dyDescent="0.35">
      <c r="I1040" s="545"/>
    </row>
    <row r="1041" spans="9:9" s="10" customFormat="1" x14ac:dyDescent="0.35">
      <c r="I1041" s="545"/>
    </row>
    <row r="1042" spans="9:9" s="10" customFormat="1" x14ac:dyDescent="0.35">
      <c r="I1042" s="545"/>
    </row>
    <row r="1043" spans="9:9" s="10" customFormat="1" x14ac:dyDescent="0.35">
      <c r="I1043" s="545"/>
    </row>
    <row r="1044" spans="9:9" s="10" customFormat="1" x14ac:dyDescent="0.35">
      <c r="I1044" s="545"/>
    </row>
    <row r="1045" spans="9:9" s="10" customFormat="1" x14ac:dyDescent="0.35">
      <c r="I1045" s="545"/>
    </row>
    <row r="1046" spans="9:9" s="10" customFormat="1" x14ac:dyDescent="0.35">
      <c r="I1046" s="545"/>
    </row>
    <row r="1047" spans="9:9" s="10" customFormat="1" x14ac:dyDescent="0.35">
      <c r="I1047" s="545"/>
    </row>
    <row r="1048" spans="9:9" s="10" customFormat="1" x14ac:dyDescent="0.35">
      <c r="I1048" s="545"/>
    </row>
    <row r="1049" spans="9:9" s="10" customFormat="1" x14ac:dyDescent="0.35">
      <c r="I1049" s="545"/>
    </row>
    <row r="1050" spans="9:9" s="10" customFormat="1" x14ac:dyDescent="0.35">
      <c r="I1050" s="545"/>
    </row>
    <row r="1051" spans="9:9" s="10" customFormat="1" x14ac:dyDescent="0.35">
      <c r="I1051" s="545"/>
    </row>
    <row r="1052" spans="9:9" s="10" customFormat="1" x14ac:dyDescent="0.35">
      <c r="I1052" s="545"/>
    </row>
    <row r="1053" spans="9:9" s="10" customFormat="1" x14ac:dyDescent="0.35">
      <c r="I1053" s="545"/>
    </row>
    <row r="1054" spans="9:9" s="10" customFormat="1" x14ac:dyDescent="0.35">
      <c r="I1054" s="545"/>
    </row>
    <row r="1055" spans="9:9" s="10" customFormat="1" x14ac:dyDescent="0.35">
      <c r="I1055" s="545"/>
    </row>
    <row r="1056" spans="9:9" s="10" customFormat="1" x14ac:dyDescent="0.35">
      <c r="I1056" s="545"/>
    </row>
    <row r="1057" spans="9:9" s="10" customFormat="1" x14ac:dyDescent="0.35">
      <c r="I1057" s="545"/>
    </row>
    <row r="1058" spans="9:9" s="10" customFormat="1" x14ac:dyDescent="0.35">
      <c r="I1058" s="545"/>
    </row>
    <row r="1059" spans="9:9" s="10" customFormat="1" x14ac:dyDescent="0.35">
      <c r="I1059" s="545"/>
    </row>
    <row r="1060" spans="9:9" s="10" customFormat="1" x14ac:dyDescent="0.35">
      <c r="I1060" s="545"/>
    </row>
    <row r="1061" spans="9:9" s="10" customFormat="1" x14ac:dyDescent="0.35">
      <c r="I1061" s="545"/>
    </row>
    <row r="1062" spans="9:9" s="10" customFormat="1" x14ac:dyDescent="0.35">
      <c r="I1062" s="545"/>
    </row>
    <row r="1063" spans="9:9" s="10" customFormat="1" x14ac:dyDescent="0.35">
      <c r="I1063" s="545"/>
    </row>
    <row r="1064" spans="9:9" s="10" customFormat="1" x14ac:dyDescent="0.35">
      <c r="I1064" s="545"/>
    </row>
    <row r="1065" spans="9:9" s="10" customFormat="1" x14ac:dyDescent="0.35">
      <c r="I1065" s="545"/>
    </row>
    <row r="1066" spans="9:9" s="10" customFormat="1" x14ac:dyDescent="0.35">
      <c r="I1066" s="545"/>
    </row>
    <row r="1067" spans="9:9" s="10" customFormat="1" x14ac:dyDescent="0.35">
      <c r="I1067" s="545"/>
    </row>
    <row r="1068" spans="9:9" s="10" customFormat="1" x14ac:dyDescent="0.35">
      <c r="I1068" s="545"/>
    </row>
    <row r="1069" spans="9:9" s="10" customFormat="1" x14ac:dyDescent="0.35">
      <c r="I1069" s="545"/>
    </row>
    <row r="1070" spans="9:9" s="10" customFormat="1" x14ac:dyDescent="0.35">
      <c r="I1070" s="545"/>
    </row>
    <row r="1071" spans="9:9" s="10" customFormat="1" x14ac:dyDescent="0.35">
      <c r="I1071" s="545"/>
    </row>
    <row r="1072" spans="9:9" s="10" customFormat="1" x14ac:dyDescent="0.35">
      <c r="I1072" s="545"/>
    </row>
    <row r="1073" spans="9:9" s="10" customFormat="1" x14ac:dyDescent="0.35">
      <c r="I1073" s="545"/>
    </row>
    <row r="1074" spans="9:9" s="10" customFormat="1" x14ac:dyDescent="0.35">
      <c r="I1074" s="545"/>
    </row>
    <row r="1075" spans="9:9" s="10" customFormat="1" x14ac:dyDescent="0.35">
      <c r="I1075" s="545"/>
    </row>
    <row r="1076" spans="9:9" s="10" customFormat="1" x14ac:dyDescent="0.35">
      <c r="I1076" s="545"/>
    </row>
    <row r="1077" spans="9:9" s="10" customFormat="1" x14ac:dyDescent="0.35">
      <c r="I1077" s="545"/>
    </row>
    <row r="1078" spans="9:9" s="10" customFormat="1" x14ac:dyDescent="0.35">
      <c r="I1078" s="545"/>
    </row>
    <row r="1079" spans="9:9" s="10" customFormat="1" x14ac:dyDescent="0.35">
      <c r="I1079" s="545"/>
    </row>
    <row r="1080" spans="9:9" s="10" customFormat="1" x14ac:dyDescent="0.35">
      <c r="I1080" s="545"/>
    </row>
    <row r="1081" spans="9:9" s="10" customFormat="1" x14ac:dyDescent="0.35">
      <c r="I1081" s="545"/>
    </row>
    <row r="1082" spans="9:9" s="10" customFormat="1" x14ac:dyDescent="0.35">
      <c r="I1082" s="545"/>
    </row>
    <row r="1083" spans="9:9" s="10" customFormat="1" x14ac:dyDescent="0.35">
      <c r="I1083" s="545"/>
    </row>
    <row r="1084" spans="9:9" s="10" customFormat="1" x14ac:dyDescent="0.35">
      <c r="I1084" s="545"/>
    </row>
    <row r="1085" spans="9:9" s="10" customFormat="1" x14ac:dyDescent="0.35">
      <c r="I1085" s="545"/>
    </row>
    <row r="1086" spans="9:9" s="10" customFormat="1" x14ac:dyDescent="0.35">
      <c r="I1086" s="545"/>
    </row>
    <row r="1087" spans="9:9" s="10" customFormat="1" x14ac:dyDescent="0.35">
      <c r="I1087" s="545"/>
    </row>
    <row r="1088" spans="9:9" s="10" customFormat="1" x14ac:dyDescent="0.35">
      <c r="I1088" s="545"/>
    </row>
    <row r="1089" spans="9:9" s="10" customFormat="1" x14ac:dyDescent="0.35">
      <c r="I1089" s="545"/>
    </row>
    <row r="1090" spans="9:9" s="10" customFormat="1" x14ac:dyDescent="0.35">
      <c r="I1090" s="545"/>
    </row>
    <row r="1091" spans="9:9" s="10" customFormat="1" x14ac:dyDescent="0.35">
      <c r="I1091" s="545"/>
    </row>
    <row r="1092" spans="9:9" s="10" customFormat="1" x14ac:dyDescent="0.35">
      <c r="I1092" s="545"/>
    </row>
    <row r="1093" spans="9:9" s="10" customFormat="1" x14ac:dyDescent="0.35">
      <c r="I1093" s="545"/>
    </row>
    <row r="1094" spans="9:9" s="10" customFormat="1" x14ac:dyDescent="0.35">
      <c r="I1094" s="545"/>
    </row>
    <row r="1095" spans="9:9" s="10" customFormat="1" x14ac:dyDescent="0.35">
      <c r="I1095" s="545"/>
    </row>
    <row r="1096" spans="9:9" s="10" customFormat="1" x14ac:dyDescent="0.35">
      <c r="I1096" s="545"/>
    </row>
    <row r="1097" spans="9:9" s="10" customFormat="1" x14ac:dyDescent="0.35">
      <c r="I1097" s="545"/>
    </row>
    <row r="1098" spans="9:9" s="10" customFormat="1" x14ac:dyDescent="0.35">
      <c r="I1098" s="545"/>
    </row>
    <row r="1099" spans="9:9" s="10" customFormat="1" x14ac:dyDescent="0.35">
      <c r="I1099" s="545"/>
    </row>
    <row r="1100" spans="9:9" s="10" customFormat="1" x14ac:dyDescent="0.35">
      <c r="I1100" s="545"/>
    </row>
    <row r="1101" spans="9:9" s="10" customFormat="1" x14ac:dyDescent="0.35">
      <c r="I1101" s="545"/>
    </row>
    <row r="1102" spans="9:9" s="10" customFormat="1" x14ac:dyDescent="0.35">
      <c r="I1102" s="545"/>
    </row>
    <row r="1103" spans="9:9" s="10" customFormat="1" x14ac:dyDescent="0.35">
      <c r="I1103" s="545"/>
    </row>
    <row r="1104" spans="9:9" s="10" customFormat="1" x14ac:dyDescent="0.35">
      <c r="I1104" s="545"/>
    </row>
    <row r="1105" spans="9:9" s="10" customFormat="1" x14ac:dyDescent="0.35">
      <c r="I1105" s="545"/>
    </row>
    <row r="1106" spans="9:9" s="10" customFormat="1" x14ac:dyDescent="0.35">
      <c r="I1106" s="545"/>
    </row>
    <row r="1107" spans="9:9" s="10" customFormat="1" x14ac:dyDescent="0.35">
      <c r="I1107" s="545"/>
    </row>
    <row r="1108" spans="9:9" s="10" customFormat="1" x14ac:dyDescent="0.35">
      <c r="I1108" s="545"/>
    </row>
    <row r="1109" spans="9:9" s="10" customFormat="1" x14ac:dyDescent="0.35">
      <c r="I1109" s="545"/>
    </row>
    <row r="1110" spans="9:9" s="10" customFormat="1" x14ac:dyDescent="0.35">
      <c r="I1110" s="545"/>
    </row>
    <row r="1111" spans="9:9" s="10" customFormat="1" x14ac:dyDescent="0.35">
      <c r="I1111" s="545"/>
    </row>
    <row r="1112" spans="9:9" s="10" customFormat="1" x14ac:dyDescent="0.35">
      <c r="I1112" s="545"/>
    </row>
    <row r="1113" spans="9:9" s="10" customFormat="1" x14ac:dyDescent="0.35">
      <c r="I1113" s="545"/>
    </row>
    <row r="1114" spans="9:9" s="10" customFormat="1" x14ac:dyDescent="0.35">
      <c r="I1114" s="545"/>
    </row>
    <row r="1115" spans="9:9" s="10" customFormat="1" x14ac:dyDescent="0.35">
      <c r="I1115" s="545"/>
    </row>
    <row r="1116" spans="9:9" s="10" customFormat="1" x14ac:dyDescent="0.35">
      <c r="I1116" s="545"/>
    </row>
    <row r="1117" spans="9:9" s="10" customFormat="1" x14ac:dyDescent="0.35">
      <c r="I1117" s="545"/>
    </row>
    <row r="1118" spans="9:9" s="10" customFormat="1" x14ac:dyDescent="0.35">
      <c r="I1118" s="545"/>
    </row>
    <row r="1119" spans="9:9" s="10" customFormat="1" x14ac:dyDescent="0.35">
      <c r="I1119" s="545"/>
    </row>
    <row r="1120" spans="9:9" s="10" customFormat="1" x14ac:dyDescent="0.35">
      <c r="I1120" s="545"/>
    </row>
    <row r="1121" spans="9:9" s="10" customFormat="1" x14ac:dyDescent="0.35">
      <c r="I1121" s="545"/>
    </row>
    <row r="1122" spans="9:9" s="10" customFormat="1" x14ac:dyDescent="0.35">
      <c r="I1122" s="545"/>
    </row>
    <row r="1123" spans="9:9" s="10" customFormat="1" x14ac:dyDescent="0.35">
      <c r="I1123" s="545"/>
    </row>
    <row r="1124" spans="9:9" s="10" customFormat="1" x14ac:dyDescent="0.35">
      <c r="I1124" s="545"/>
    </row>
    <row r="1125" spans="9:9" s="10" customFormat="1" x14ac:dyDescent="0.35">
      <c r="I1125" s="545"/>
    </row>
    <row r="1126" spans="9:9" s="10" customFormat="1" x14ac:dyDescent="0.35">
      <c r="I1126" s="545"/>
    </row>
    <row r="1127" spans="9:9" s="10" customFormat="1" x14ac:dyDescent="0.35">
      <c r="I1127" s="545"/>
    </row>
    <row r="1128" spans="9:9" s="10" customFormat="1" x14ac:dyDescent="0.35">
      <c r="I1128" s="545"/>
    </row>
    <row r="1129" spans="9:9" s="10" customFormat="1" x14ac:dyDescent="0.35">
      <c r="I1129" s="545"/>
    </row>
    <row r="1130" spans="9:9" s="10" customFormat="1" x14ac:dyDescent="0.35">
      <c r="I1130" s="545"/>
    </row>
    <row r="1131" spans="9:9" s="10" customFormat="1" x14ac:dyDescent="0.35">
      <c r="I1131" s="545"/>
    </row>
    <row r="1132" spans="9:9" s="10" customFormat="1" x14ac:dyDescent="0.35">
      <c r="I1132" s="545"/>
    </row>
    <row r="1133" spans="9:9" s="10" customFormat="1" x14ac:dyDescent="0.35">
      <c r="I1133" s="545"/>
    </row>
    <row r="1134" spans="9:9" s="10" customFormat="1" x14ac:dyDescent="0.35">
      <c r="I1134" s="545"/>
    </row>
    <row r="1135" spans="9:9" s="10" customFormat="1" x14ac:dyDescent="0.35">
      <c r="I1135" s="545"/>
    </row>
    <row r="1136" spans="9:9" s="10" customFormat="1" x14ac:dyDescent="0.35">
      <c r="I1136" s="545"/>
    </row>
    <row r="1137" spans="9:9" s="10" customFormat="1" x14ac:dyDescent="0.35">
      <c r="I1137" s="545"/>
    </row>
    <row r="1138" spans="9:9" s="10" customFormat="1" x14ac:dyDescent="0.35">
      <c r="I1138" s="545"/>
    </row>
    <row r="1139" spans="9:9" s="10" customFormat="1" x14ac:dyDescent="0.35">
      <c r="I1139" s="545"/>
    </row>
    <row r="1140" spans="9:9" s="10" customFormat="1" x14ac:dyDescent="0.35">
      <c r="I1140" s="545"/>
    </row>
    <row r="1141" spans="9:9" s="10" customFormat="1" x14ac:dyDescent="0.35">
      <c r="I1141" s="545"/>
    </row>
    <row r="1142" spans="9:9" s="10" customFormat="1" x14ac:dyDescent="0.35">
      <c r="I1142" s="545"/>
    </row>
    <row r="1143" spans="9:9" s="10" customFormat="1" x14ac:dyDescent="0.35">
      <c r="I1143" s="545"/>
    </row>
    <row r="1144" spans="9:9" s="10" customFormat="1" x14ac:dyDescent="0.35">
      <c r="I1144" s="545"/>
    </row>
    <row r="1145" spans="9:9" s="10" customFormat="1" x14ac:dyDescent="0.35">
      <c r="I1145" s="545"/>
    </row>
    <row r="1146" spans="9:9" s="10" customFormat="1" x14ac:dyDescent="0.35">
      <c r="I1146" s="545"/>
    </row>
    <row r="1147" spans="9:9" s="10" customFormat="1" x14ac:dyDescent="0.35">
      <c r="I1147" s="545"/>
    </row>
    <row r="1148" spans="9:9" s="10" customFormat="1" x14ac:dyDescent="0.35">
      <c r="I1148" s="545"/>
    </row>
    <row r="1149" spans="9:9" s="10" customFormat="1" x14ac:dyDescent="0.35">
      <c r="I1149" s="545"/>
    </row>
    <row r="1150" spans="9:9" s="10" customFormat="1" x14ac:dyDescent="0.35">
      <c r="I1150" s="545"/>
    </row>
    <row r="1151" spans="9:9" s="10" customFormat="1" x14ac:dyDescent="0.35">
      <c r="I1151" s="545"/>
    </row>
    <row r="1152" spans="9:9" s="10" customFormat="1" x14ac:dyDescent="0.35">
      <c r="I1152" s="545"/>
    </row>
    <row r="1153" spans="9:9" s="10" customFormat="1" x14ac:dyDescent="0.35">
      <c r="I1153" s="545"/>
    </row>
    <row r="1154" spans="9:9" s="10" customFormat="1" x14ac:dyDescent="0.35">
      <c r="I1154" s="545"/>
    </row>
    <row r="1155" spans="9:9" s="10" customFormat="1" x14ac:dyDescent="0.35">
      <c r="I1155" s="545"/>
    </row>
    <row r="1156" spans="9:9" s="10" customFormat="1" x14ac:dyDescent="0.35">
      <c r="I1156" s="545"/>
    </row>
    <row r="1157" spans="9:9" s="10" customFormat="1" x14ac:dyDescent="0.35">
      <c r="I1157" s="545"/>
    </row>
    <row r="1158" spans="9:9" s="10" customFormat="1" x14ac:dyDescent="0.35">
      <c r="I1158" s="545"/>
    </row>
    <row r="1159" spans="9:9" s="10" customFormat="1" x14ac:dyDescent="0.35">
      <c r="I1159" s="545"/>
    </row>
    <row r="1160" spans="9:9" s="10" customFormat="1" x14ac:dyDescent="0.35">
      <c r="I1160" s="545"/>
    </row>
    <row r="1161" spans="9:9" s="10" customFormat="1" x14ac:dyDescent="0.35">
      <c r="I1161" s="545"/>
    </row>
    <row r="1162" spans="9:9" s="10" customFormat="1" x14ac:dyDescent="0.35">
      <c r="I1162" s="545"/>
    </row>
    <row r="1163" spans="9:9" s="10" customFormat="1" x14ac:dyDescent="0.35">
      <c r="I1163" s="545"/>
    </row>
    <row r="1164" spans="9:9" s="10" customFormat="1" x14ac:dyDescent="0.35">
      <c r="I1164" s="545"/>
    </row>
    <row r="1165" spans="9:9" s="10" customFormat="1" x14ac:dyDescent="0.35">
      <c r="I1165" s="545"/>
    </row>
    <row r="1166" spans="9:9" s="10" customFormat="1" x14ac:dyDescent="0.35">
      <c r="I1166" s="545"/>
    </row>
    <row r="1167" spans="9:9" s="10" customFormat="1" x14ac:dyDescent="0.35">
      <c r="I1167" s="545"/>
    </row>
    <row r="1168" spans="9:9" s="10" customFormat="1" x14ac:dyDescent="0.35">
      <c r="I1168" s="545"/>
    </row>
    <row r="1169" spans="9:9" s="10" customFormat="1" x14ac:dyDescent="0.35">
      <c r="I1169" s="545"/>
    </row>
    <row r="1170" spans="9:9" s="10" customFormat="1" x14ac:dyDescent="0.35">
      <c r="I1170" s="545"/>
    </row>
    <row r="1171" spans="9:9" s="10" customFormat="1" x14ac:dyDescent="0.35">
      <c r="I1171" s="545"/>
    </row>
    <row r="1172" spans="9:9" s="10" customFormat="1" x14ac:dyDescent="0.35">
      <c r="I1172" s="545"/>
    </row>
    <row r="1173" spans="9:9" s="10" customFormat="1" x14ac:dyDescent="0.35">
      <c r="I1173" s="545"/>
    </row>
    <row r="1174" spans="9:9" s="10" customFormat="1" x14ac:dyDescent="0.35">
      <c r="I1174" s="545"/>
    </row>
    <row r="1175" spans="9:9" s="10" customFormat="1" x14ac:dyDescent="0.35">
      <c r="I1175" s="545"/>
    </row>
    <row r="1176" spans="9:9" s="10" customFormat="1" x14ac:dyDescent="0.35">
      <c r="I1176" s="545"/>
    </row>
    <row r="1177" spans="9:9" s="10" customFormat="1" x14ac:dyDescent="0.35">
      <c r="I1177" s="545"/>
    </row>
    <row r="1178" spans="9:9" s="10" customFormat="1" x14ac:dyDescent="0.35">
      <c r="I1178" s="545"/>
    </row>
    <row r="1179" spans="9:9" s="10" customFormat="1" x14ac:dyDescent="0.35">
      <c r="I1179" s="545"/>
    </row>
    <row r="1180" spans="9:9" s="10" customFormat="1" x14ac:dyDescent="0.35">
      <c r="I1180" s="545"/>
    </row>
    <row r="1181" spans="9:9" s="10" customFormat="1" x14ac:dyDescent="0.35">
      <c r="I1181" s="545"/>
    </row>
    <row r="1182" spans="9:9" s="10" customFormat="1" x14ac:dyDescent="0.35">
      <c r="I1182" s="545"/>
    </row>
    <row r="1183" spans="9:9" s="10" customFormat="1" x14ac:dyDescent="0.35">
      <c r="I1183" s="545"/>
    </row>
    <row r="1184" spans="9:9" s="10" customFormat="1" x14ac:dyDescent="0.35">
      <c r="I1184" s="545"/>
    </row>
    <row r="1185" spans="9:9" s="10" customFormat="1" x14ac:dyDescent="0.35">
      <c r="I1185" s="545"/>
    </row>
    <row r="1186" spans="9:9" s="10" customFormat="1" x14ac:dyDescent="0.35">
      <c r="I1186" s="545"/>
    </row>
    <row r="1187" spans="9:9" s="10" customFormat="1" x14ac:dyDescent="0.35">
      <c r="I1187" s="545"/>
    </row>
    <row r="1188" spans="9:9" s="10" customFormat="1" x14ac:dyDescent="0.35">
      <c r="I1188" s="545"/>
    </row>
    <row r="1189" spans="9:9" s="10" customFormat="1" x14ac:dyDescent="0.35">
      <c r="I1189" s="545"/>
    </row>
    <row r="1190" spans="9:9" s="10" customFormat="1" x14ac:dyDescent="0.35">
      <c r="I1190" s="545"/>
    </row>
    <row r="1191" spans="9:9" s="10" customFormat="1" x14ac:dyDescent="0.35">
      <c r="I1191" s="545"/>
    </row>
    <row r="1192" spans="9:9" s="10" customFormat="1" x14ac:dyDescent="0.35">
      <c r="I1192" s="545"/>
    </row>
    <row r="1193" spans="9:9" s="10" customFormat="1" x14ac:dyDescent="0.35">
      <c r="I1193" s="545"/>
    </row>
    <row r="1194" spans="9:9" s="10" customFormat="1" x14ac:dyDescent="0.35">
      <c r="I1194" s="545"/>
    </row>
    <row r="1195" spans="9:9" s="10" customFormat="1" x14ac:dyDescent="0.35">
      <c r="I1195" s="545"/>
    </row>
    <row r="1196" spans="9:9" s="10" customFormat="1" x14ac:dyDescent="0.35">
      <c r="I1196" s="545"/>
    </row>
    <row r="1197" spans="9:9" s="10" customFormat="1" x14ac:dyDescent="0.35">
      <c r="I1197" s="545"/>
    </row>
    <row r="1198" spans="9:9" s="10" customFormat="1" x14ac:dyDescent="0.35">
      <c r="I1198" s="545"/>
    </row>
    <row r="1199" spans="9:9" s="10" customFormat="1" x14ac:dyDescent="0.35">
      <c r="I1199" s="545"/>
    </row>
    <row r="1200" spans="9:9" s="10" customFormat="1" x14ac:dyDescent="0.35">
      <c r="I1200" s="545"/>
    </row>
    <row r="1201" spans="9:9" s="10" customFormat="1" x14ac:dyDescent="0.35">
      <c r="I1201" s="545"/>
    </row>
    <row r="1202" spans="9:9" s="10" customFormat="1" x14ac:dyDescent="0.35">
      <c r="I1202" s="545"/>
    </row>
    <row r="1203" spans="9:9" s="10" customFormat="1" x14ac:dyDescent="0.35">
      <c r="I1203" s="545"/>
    </row>
    <row r="1204" spans="9:9" s="10" customFormat="1" x14ac:dyDescent="0.35">
      <c r="I1204" s="545"/>
    </row>
    <row r="1205" spans="9:9" s="10" customFormat="1" x14ac:dyDescent="0.35">
      <c r="I1205" s="545"/>
    </row>
    <row r="1206" spans="9:9" s="10" customFormat="1" x14ac:dyDescent="0.35">
      <c r="I1206" s="545"/>
    </row>
    <row r="1207" spans="9:9" s="10" customFormat="1" x14ac:dyDescent="0.35">
      <c r="I1207" s="545"/>
    </row>
    <row r="1208" spans="9:9" s="10" customFormat="1" x14ac:dyDescent="0.35">
      <c r="I1208" s="545"/>
    </row>
    <row r="1209" spans="9:9" s="10" customFormat="1" x14ac:dyDescent="0.35">
      <c r="I1209" s="545"/>
    </row>
    <row r="1210" spans="9:9" s="10" customFormat="1" x14ac:dyDescent="0.35">
      <c r="I1210" s="545"/>
    </row>
    <row r="1211" spans="9:9" s="10" customFormat="1" x14ac:dyDescent="0.35">
      <c r="I1211" s="545"/>
    </row>
    <row r="1212" spans="9:9" s="10" customFormat="1" x14ac:dyDescent="0.35">
      <c r="I1212" s="545"/>
    </row>
    <row r="1213" spans="9:9" s="10" customFormat="1" x14ac:dyDescent="0.35">
      <c r="I1213" s="545"/>
    </row>
    <row r="1214" spans="9:9" s="10" customFormat="1" x14ac:dyDescent="0.35">
      <c r="I1214" s="545"/>
    </row>
    <row r="1215" spans="9:9" s="10" customFormat="1" x14ac:dyDescent="0.35">
      <c r="I1215" s="545"/>
    </row>
    <row r="1216" spans="9:9" s="10" customFormat="1" x14ac:dyDescent="0.35">
      <c r="I1216" s="545"/>
    </row>
    <row r="1217" spans="9:9" s="10" customFormat="1" x14ac:dyDescent="0.35">
      <c r="I1217" s="545"/>
    </row>
    <row r="1218" spans="9:9" s="10" customFormat="1" x14ac:dyDescent="0.35">
      <c r="I1218" s="545"/>
    </row>
    <row r="1219" spans="9:9" s="10" customFormat="1" x14ac:dyDescent="0.35">
      <c r="I1219" s="545"/>
    </row>
    <row r="1220" spans="9:9" s="10" customFormat="1" x14ac:dyDescent="0.35">
      <c r="I1220" s="545"/>
    </row>
    <row r="1221" spans="9:9" s="10" customFormat="1" x14ac:dyDescent="0.35">
      <c r="I1221" s="545"/>
    </row>
    <row r="1222" spans="9:9" s="10" customFormat="1" x14ac:dyDescent="0.35">
      <c r="I1222" s="545"/>
    </row>
    <row r="1223" spans="9:9" s="10" customFormat="1" x14ac:dyDescent="0.35">
      <c r="I1223" s="545"/>
    </row>
    <row r="1224" spans="9:9" s="10" customFormat="1" x14ac:dyDescent="0.35">
      <c r="I1224" s="545"/>
    </row>
    <row r="1225" spans="9:9" s="10" customFormat="1" x14ac:dyDescent="0.35">
      <c r="I1225" s="545"/>
    </row>
    <row r="1226" spans="9:9" s="10" customFormat="1" x14ac:dyDescent="0.35">
      <c r="I1226" s="545"/>
    </row>
    <row r="1227" spans="9:9" s="10" customFormat="1" x14ac:dyDescent="0.35">
      <c r="I1227" s="545"/>
    </row>
    <row r="1228" spans="9:9" s="10" customFormat="1" x14ac:dyDescent="0.35">
      <c r="I1228" s="545"/>
    </row>
    <row r="1229" spans="9:9" s="10" customFormat="1" x14ac:dyDescent="0.35">
      <c r="I1229" s="545"/>
    </row>
    <row r="1230" spans="9:9" s="10" customFormat="1" x14ac:dyDescent="0.35">
      <c r="I1230" s="545"/>
    </row>
    <row r="1231" spans="9:9" s="10" customFormat="1" x14ac:dyDescent="0.35">
      <c r="I1231" s="545"/>
    </row>
    <row r="1232" spans="9:9" s="10" customFormat="1" x14ac:dyDescent="0.35">
      <c r="I1232" s="545"/>
    </row>
    <row r="1233" spans="9:9" s="10" customFormat="1" x14ac:dyDescent="0.35">
      <c r="I1233" s="545"/>
    </row>
    <row r="1234" spans="9:9" s="10" customFormat="1" x14ac:dyDescent="0.35">
      <c r="I1234" s="545"/>
    </row>
    <row r="1235" spans="9:9" s="10" customFormat="1" x14ac:dyDescent="0.35">
      <c r="I1235" s="545"/>
    </row>
    <row r="1236" spans="9:9" s="10" customFormat="1" x14ac:dyDescent="0.35">
      <c r="I1236" s="545"/>
    </row>
    <row r="1237" spans="9:9" s="10" customFormat="1" x14ac:dyDescent="0.35">
      <c r="I1237" s="545"/>
    </row>
    <row r="1238" spans="9:9" s="10" customFormat="1" x14ac:dyDescent="0.35">
      <c r="I1238" s="545"/>
    </row>
    <row r="1239" spans="9:9" s="10" customFormat="1" x14ac:dyDescent="0.35">
      <c r="I1239" s="545"/>
    </row>
    <row r="1240" spans="9:9" s="10" customFormat="1" x14ac:dyDescent="0.35">
      <c r="I1240" s="545"/>
    </row>
    <row r="1241" spans="9:9" s="10" customFormat="1" x14ac:dyDescent="0.35">
      <c r="I1241" s="545"/>
    </row>
    <row r="1242" spans="9:9" s="10" customFormat="1" x14ac:dyDescent="0.35">
      <c r="I1242" s="545"/>
    </row>
    <row r="1243" spans="9:9" s="10" customFormat="1" x14ac:dyDescent="0.35">
      <c r="I1243" s="545"/>
    </row>
    <row r="1244" spans="9:9" s="10" customFormat="1" x14ac:dyDescent="0.35">
      <c r="I1244" s="545"/>
    </row>
    <row r="1245" spans="9:9" s="10" customFormat="1" x14ac:dyDescent="0.35">
      <c r="I1245" s="545"/>
    </row>
    <row r="1246" spans="9:9" s="10" customFormat="1" x14ac:dyDescent="0.35">
      <c r="I1246" s="545"/>
    </row>
    <row r="1247" spans="9:9" s="10" customFormat="1" x14ac:dyDescent="0.35">
      <c r="I1247" s="545"/>
    </row>
    <row r="1248" spans="9:9" s="10" customFormat="1" x14ac:dyDescent="0.35">
      <c r="I1248" s="545"/>
    </row>
    <row r="1249" spans="9:9" s="10" customFormat="1" x14ac:dyDescent="0.35">
      <c r="I1249" s="545"/>
    </row>
    <row r="1250" spans="9:9" s="10" customFormat="1" x14ac:dyDescent="0.35">
      <c r="I1250" s="545"/>
    </row>
    <row r="1251" spans="9:9" s="10" customFormat="1" x14ac:dyDescent="0.35">
      <c r="I1251" s="545"/>
    </row>
    <row r="1252" spans="9:9" s="10" customFormat="1" x14ac:dyDescent="0.35">
      <c r="I1252" s="545"/>
    </row>
    <row r="1253" spans="9:9" s="10" customFormat="1" x14ac:dyDescent="0.35">
      <c r="I1253" s="545"/>
    </row>
    <row r="1254" spans="9:9" s="10" customFormat="1" x14ac:dyDescent="0.35">
      <c r="I1254" s="545"/>
    </row>
    <row r="1255" spans="9:9" s="10" customFormat="1" x14ac:dyDescent="0.35">
      <c r="I1255" s="545"/>
    </row>
    <row r="1256" spans="9:9" s="10" customFormat="1" x14ac:dyDescent="0.35">
      <c r="I1256" s="545"/>
    </row>
    <row r="1257" spans="9:9" s="10" customFormat="1" x14ac:dyDescent="0.35">
      <c r="I1257" s="545"/>
    </row>
    <row r="1258" spans="9:9" s="10" customFormat="1" x14ac:dyDescent="0.35">
      <c r="I1258" s="545"/>
    </row>
    <row r="1259" spans="9:9" s="10" customFormat="1" x14ac:dyDescent="0.35">
      <c r="I1259" s="545"/>
    </row>
    <row r="1260" spans="9:9" s="10" customFormat="1" x14ac:dyDescent="0.35">
      <c r="I1260" s="545"/>
    </row>
    <row r="1261" spans="9:9" s="10" customFormat="1" x14ac:dyDescent="0.35">
      <c r="I1261" s="545"/>
    </row>
    <row r="1262" spans="9:9" s="10" customFormat="1" x14ac:dyDescent="0.35">
      <c r="I1262" s="545"/>
    </row>
    <row r="1263" spans="9:9" s="10" customFormat="1" x14ac:dyDescent="0.35">
      <c r="I1263" s="545"/>
    </row>
    <row r="1264" spans="9:9" s="10" customFormat="1" x14ac:dyDescent="0.35">
      <c r="I1264" s="545"/>
    </row>
    <row r="1265" spans="9:9" s="10" customFormat="1" x14ac:dyDescent="0.35">
      <c r="I1265" s="545"/>
    </row>
    <row r="1266" spans="9:9" s="10" customFormat="1" x14ac:dyDescent="0.35">
      <c r="I1266" s="545"/>
    </row>
    <row r="1267" spans="9:9" s="10" customFormat="1" x14ac:dyDescent="0.35">
      <c r="I1267" s="545"/>
    </row>
    <row r="1268" spans="9:9" s="10" customFormat="1" x14ac:dyDescent="0.35">
      <c r="I1268" s="545"/>
    </row>
    <row r="1269" spans="9:9" s="10" customFormat="1" x14ac:dyDescent="0.35">
      <c r="I1269" s="545"/>
    </row>
    <row r="1270" spans="9:9" s="10" customFormat="1" x14ac:dyDescent="0.35">
      <c r="I1270" s="545"/>
    </row>
    <row r="1271" spans="9:9" s="10" customFormat="1" x14ac:dyDescent="0.35">
      <c r="I1271" s="545"/>
    </row>
    <row r="1272" spans="9:9" s="10" customFormat="1" x14ac:dyDescent="0.35">
      <c r="I1272" s="545"/>
    </row>
    <row r="1273" spans="9:9" s="10" customFormat="1" x14ac:dyDescent="0.35">
      <c r="I1273" s="545"/>
    </row>
    <row r="1274" spans="9:9" s="10" customFormat="1" x14ac:dyDescent="0.35">
      <c r="I1274" s="545"/>
    </row>
    <row r="1275" spans="9:9" s="10" customFormat="1" x14ac:dyDescent="0.35">
      <c r="I1275" s="545"/>
    </row>
    <row r="1276" spans="9:9" s="10" customFormat="1" x14ac:dyDescent="0.35">
      <c r="I1276" s="545"/>
    </row>
    <row r="1277" spans="9:9" s="10" customFormat="1" x14ac:dyDescent="0.35">
      <c r="I1277" s="545"/>
    </row>
    <row r="1278" spans="9:9" s="10" customFormat="1" x14ac:dyDescent="0.35">
      <c r="I1278" s="545"/>
    </row>
    <row r="1279" spans="9:9" s="10" customFormat="1" x14ac:dyDescent="0.35">
      <c r="I1279" s="545"/>
    </row>
    <row r="1280" spans="9:9" s="10" customFormat="1" x14ac:dyDescent="0.35">
      <c r="I1280" s="545"/>
    </row>
    <row r="1281" spans="9:9" s="10" customFormat="1" x14ac:dyDescent="0.35">
      <c r="I1281" s="545"/>
    </row>
    <row r="1282" spans="9:9" s="10" customFormat="1" x14ac:dyDescent="0.35">
      <c r="I1282" s="545"/>
    </row>
    <row r="1283" spans="9:9" s="10" customFormat="1" x14ac:dyDescent="0.35">
      <c r="I1283" s="545"/>
    </row>
    <row r="1284" spans="9:9" s="10" customFormat="1" x14ac:dyDescent="0.35">
      <c r="I1284" s="545"/>
    </row>
    <row r="1285" spans="9:9" s="10" customFormat="1" x14ac:dyDescent="0.35">
      <c r="I1285" s="545"/>
    </row>
    <row r="1286" spans="9:9" s="10" customFormat="1" x14ac:dyDescent="0.35">
      <c r="I1286" s="545"/>
    </row>
    <row r="1287" spans="9:9" s="10" customFormat="1" x14ac:dyDescent="0.35">
      <c r="I1287" s="545"/>
    </row>
    <row r="1288" spans="9:9" s="10" customFormat="1" x14ac:dyDescent="0.35">
      <c r="I1288" s="545"/>
    </row>
    <row r="1289" spans="9:9" s="10" customFormat="1" x14ac:dyDescent="0.35">
      <c r="I1289" s="545"/>
    </row>
    <row r="1290" spans="9:9" s="10" customFormat="1" x14ac:dyDescent="0.35">
      <c r="I1290" s="545"/>
    </row>
    <row r="1291" spans="9:9" s="10" customFormat="1" x14ac:dyDescent="0.35">
      <c r="I1291" s="545"/>
    </row>
    <row r="1292" spans="9:9" s="10" customFormat="1" x14ac:dyDescent="0.35">
      <c r="I1292" s="545"/>
    </row>
    <row r="1293" spans="9:9" s="10" customFormat="1" x14ac:dyDescent="0.35">
      <c r="I1293" s="545"/>
    </row>
    <row r="1294" spans="9:9" s="10" customFormat="1" x14ac:dyDescent="0.35">
      <c r="I1294" s="545"/>
    </row>
    <row r="1295" spans="9:9" s="10" customFormat="1" x14ac:dyDescent="0.35">
      <c r="I1295" s="545"/>
    </row>
    <row r="1296" spans="9:9" s="10" customFormat="1" x14ac:dyDescent="0.35">
      <c r="I1296" s="545"/>
    </row>
    <row r="1297" spans="9:9" s="10" customFormat="1" x14ac:dyDescent="0.35">
      <c r="I1297" s="545"/>
    </row>
    <row r="1298" spans="9:9" s="10" customFormat="1" x14ac:dyDescent="0.35">
      <c r="I1298" s="545"/>
    </row>
    <row r="1299" spans="9:9" s="10" customFormat="1" x14ac:dyDescent="0.35">
      <c r="I1299" s="545"/>
    </row>
    <row r="1300" spans="9:9" s="10" customFormat="1" x14ac:dyDescent="0.35">
      <c r="I1300" s="545"/>
    </row>
    <row r="1301" spans="9:9" s="10" customFormat="1" x14ac:dyDescent="0.35">
      <c r="I1301" s="545"/>
    </row>
    <row r="1302" spans="9:9" s="10" customFormat="1" x14ac:dyDescent="0.35">
      <c r="I1302" s="545"/>
    </row>
    <row r="1303" spans="9:9" s="10" customFormat="1" x14ac:dyDescent="0.35">
      <c r="I1303" s="545"/>
    </row>
    <row r="1304" spans="9:9" s="10" customFormat="1" x14ac:dyDescent="0.35">
      <c r="I1304" s="545"/>
    </row>
    <row r="1305" spans="9:9" s="10" customFormat="1" x14ac:dyDescent="0.35">
      <c r="I1305" s="545"/>
    </row>
    <row r="1306" spans="9:9" s="10" customFormat="1" x14ac:dyDescent="0.35">
      <c r="I1306" s="545"/>
    </row>
    <row r="1307" spans="9:9" s="10" customFormat="1" x14ac:dyDescent="0.35">
      <c r="I1307" s="545"/>
    </row>
    <row r="1308" spans="9:9" s="10" customFormat="1" x14ac:dyDescent="0.35">
      <c r="I1308" s="545"/>
    </row>
    <row r="1309" spans="9:9" s="10" customFormat="1" x14ac:dyDescent="0.35">
      <c r="I1309" s="545"/>
    </row>
    <row r="1310" spans="9:9" s="10" customFormat="1" x14ac:dyDescent="0.35">
      <c r="I1310" s="545"/>
    </row>
    <row r="1311" spans="9:9" s="10" customFormat="1" x14ac:dyDescent="0.35">
      <c r="I1311" s="545"/>
    </row>
    <row r="1312" spans="9:9" s="10" customFormat="1" x14ac:dyDescent="0.35">
      <c r="I1312" s="545"/>
    </row>
    <row r="1313" spans="9:9" s="10" customFormat="1" x14ac:dyDescent="0.35">
      <c r="I1313" s="545"/>
    </row>
    <row r="1314" spans="9:9" s="10" customFormat="1" x14ac:dyDescent="0.35">
      <c r="I1314" s="545"/>
    </row>
    <row r="1315" spans="9:9" s="10" customFormat="1" x14ac:dyDescent="0.35">
      <c r="I1315" s="545"/>
    </row>
    <row r="1316" spans="9:9" s="10" customFormat="1" x14ac:dyDescent="0.35">
      <c r="I1316" s="545"/>
    </row>
    <row r="1317" spans="9:9" s="10" customFormat="1" x14ac:dyDescent="0.35">
      <c r="I1317" s="545"/>
    </row>
    <row r="1318" spans="9:9" s="10" customFormat="1" x14ac:dyDescent="0.35">
      <c r="I1318" s="545"/>
    </row>
    <row r="1319" spans="9:9" s="10" customFormat="1" x14ac:dyDescent="0.35">
      <c r="I1319" s="545"/>
    </row>
    <row r="1320" spans="9:9" s="10" customFormat="1" x14ac:dyDescent="0.35">
      <c r="I1320" s="545"/>
    </row>
    <row r="1321" spans="9:9" s="10" customFormat="1" x14ac:dyDescent="0.35">
      <c r="I1321" s="545"/>
    </row>
    <row r="1322" spans="9:9" s="10" customFormat="1" x14ac:dyDescent="0.35">
      <c r="I1322" s="545"/>
    </row>
    <row r="1323" spans="9:9" s="10" customFormat="1" x14ac:dyDescent="0.35">
      <c r="I1323" s="545"/>
    </row>
    <row r="1324" spans="9:9" s="10" customFormat="1" x14ac:dyDescent="0.35">
      <c r="I1324" s="545"/>
    </row>
    <row r="1325" spans="9:9" s="10" customFormat="1" x14ac:dyDescent="0.35">
      <c r="I1325" s="545"/>
    </row>
    <row r="1326" spans="9:9" s="10" customFormat="1" x14ac:dyDescent="0.35">
      <c r="I1326" s="545"/>
    </row>
    <row r="1327" spans="9:9" s="10" customFormat="1" x14ac:dyDescent="0.35">
      <c r="I1327" s="545"/>
    </row>
    <row r="1328" spans="9:9" s="10" customFormat="1" x14ac:dyDescent="0.35">
      <c r="I1328" s="545"/>
    </row>
    <row r="1329" spans="9:9" s="10" customFormat="1" x14ac:dyDescent="0.35">
      <c r="I1329" s="545"/>
    </row>
    <row r="1330" spans="9:9" s="10" customFormat="1" x14ac:dyDescent="0.35">
      <c r="I1330" s="545"/>
    </row>
    <row r="1331" spans="9:9" s="10" customFormat="1" x14ac:dyDescent="0.35">
      <c r="I1331" s="545"/>
    </row>
    <row r="1332" spans="9:9" s="10" customFormat="1" x14ac:dyDescent="0.35">
      <c r="I1332" s="545"/>
    </row>
    <row r="1333" spans="9:9" s="10" customFormat="1" x14ac:dyDescent="0.35">
      <c r="I1333" s="545"/>
    </row>
    <row r="1334" spans="9:9" s="10" customFormat="1" x14ac:dyDescent="0.35">
      <c r="I1334" s="545"/>
    </row>
    <row r="1335" spans="9:9" s="10" customFormat="1" x14ac:dyDescent="0.35">
      <c r="I1335" s="545"/>
    </row>
    <row r="1336" spans="9:9" s="10" customFormat="1" x14ac:dyDescent="0.35">
      <c r="I1336" s="545"/>
    </row>
    <row r="1337" spans="9:9" s="10" customFormat="1" x14ac:dyDescent="0.35">
      <c r="I1337" s="545"/>
    </row>
    <row r="1338" spans="9:9" s="10" customFormat="1" x14ac:dyDescent="0.35">
      <c r="I1338" s="545"/>
    </row>
    <row r="1339" spans="9:9" s="10" customFormat="1" x14ac:dyDescent="0.35">
      <c r="I1339" s="545"/>
    </row>
    <row r="1340" spans="9:9" s="10" customFormat="1" x14ac:dyDescent="0.35">
      <c r="I1340" s="545"/>
    </row>
    <row r="1341" spans="9:9" s="10" customFormat="1" x14ac:dyDescent="0.35">
      <c r="I1341" s="545"/>
    </row>
    <row r="1342" spans="9:9" s="10" customFormat="1" x14ac:dyDescent="0.35">
      <c r="I1342" s="545"/>
    </row>
    <row r="1343" spans="9:9" s="10" customFormat="1" x14ac:dyDescent="0.35">
      <c r="I1343" s="545"/>
    </row>
    <row r="1344" spans="9:9" s="10" customFormat="1" x14ac:dyDescent="0.35">
      <c r="I1344" s="545"/>
    </row>
    <row r="1345" spans="9:9" s="10" customFormat="1" x14ac:dyDescent="0.35">
      <c r="I1345" s="545"/>
    </row>
    <row r="1346" spans="9:9" s="10" customFormat="1" x14ac:dyDescent="0.35">
      <c r="I1346" s="545"/>
    </row>
    <row r="1347" spans="9:9" s="10" customFormat="1" x14ac:dyDescent="0.35">
      <c r="I1347" s="545"/>
    </row>
    <row r="1348" spans="9:9" s="10" customFormat="1" x14ac:dyDescent="0.35">
      <c r="I1348" s="545"/>
    </row>
    <row r="1349" spans="9:9" s="10" customFormat="1" x14ac:dyDescent="0.35">
      <c r="I1349" s="545"/>
    </row>
    <row r="1350" spans="9:9" s="10" customFormat="1" x14ac:dyDescent="0.35">
      <c r="I1350" s="545"/>
    </row>
    <row r="1351" spans="9:9" s="10" customFormat="1" x14ac:dyDescent="0.35">
      <c r="I1351" s="545"/>
    </row>
    <row r="1352" spans="9:9" s="10" customFormat="1" x14ac:dyDescent="0.35">
      <c r="I1352" s="545"/>
    </row>
    <row r="1353" spans="9:9" s="10" customFormat="1" x14ac:dyDescent="0.35">
      <c r="I1353" s="545"/>
    </row>
    <row r="1354" spans="9:9" s="10" customFormat="1" x14ac:dyDescent="0.35">
      <c r="I1354" s="545"/>
    </row>
    <row r="1355" spans="9:9" s="10" customFormat="1" x14ac:dyDescent="0.35">
      <c r="I1355" s="545"/>
    </row>
    <row r="1356" spans="9:9" s="10" customFormat="1" x14ac:dyDescent="0.35">
      <c r="I1356" s="545"/>
    </row>
    <row r="1357" spans="9:9" s="10" customFormat="1" x14ac:dyDescent="0.35">
      <c r="I1357" s="545"/>
    </row>
    <row r="1358" spans="9:9" s="10" customFormat="1" x14ac:dyDescent="0.35">
      <c r="I1358" s="545"/>
    </row>
    <row r="1359" spans="9:9" s="10" customFormat="1" x14ac:dyDescent="0.35">
      <c r="I1359" s="545"/>
    </row>
    <row r="1360" spans="9:9" s="10" customFormat="1" x14ac:dyDescent="0.35">
      <c r="I1360" s="545"/>
    </row>
    <row r="1361" spans="9:9" s="10" customFormat="1" x14ac:dyDescent="0.35">
      <c r="I1361" s="545"/>
    </row>
    <row r="1362" spans="9:9" s="10" customFormat="1" x14ac:dyDescent="0.35">
      <c r="I1362" s="545"/>
    </row>
    <row r="1363" spans="9:9" s="10" customFormat="1" x14ac:dyDescent="0.35">
      <c r="I1363" s="545"/>
    </row>
    <row r="1364" spans="9:9" s="10" customFormat="1" x14ac:dyDescent="0.35">
      <c r="I1364" s="545"/>
    </row>
    <row r="1365" spans="9:9" s="10" customFormat="1" x14ac:dyDescent="0.35">
      <c r="I1365" s="545"/>
    </row>
    <row r="1366" spans="9:9" s="10" customFormat="1" x14ac:dyDescent="0.35">
      <c r="I1366" s="545"/>
    </row>
    <row r="1367" spans="9:9" s="10" customFormat="1" x14ac:dyDescent="0.35">
      <c r="I1367" s="545"/>
    </row>
    <row r="1368" spans="9:9" s="10" customFormat="1" x14ac:dyDescent="0.35">
      <c r="I1368" s="545"/>
    </row>
    <row r="1369" spans="9:9" s="10" customFormat="1" x14ac:dyDescent="0.35">
      <c r="I1369" s="545"/>
    </row>
    <row r="1370" spans="9:9" s="10" customFormat="1" x14ac:dyDescent="0.35">
      <c r="I1370" s="545"/>
    </row>
    <row r="1371" spans="9:9" s="10" customFormat="1" x14ac:dyDescent="0.35">
      <c r="I1371" s="545"/>
    </row>
    <row r="1372" spans="9:9" s="10" customFormat="1" x14ac:dyDescent="0.35">
      <c r="I1372" s="545"/>
    </row>
    <row r="1373" spans="9:9" s="10" customFormat="1" x14ac:dyDescent="0.35">
      <c r="I1373" s="545"/>
    </row>
    <row r="1374" spans="9:9" s="10" customFormat="1" x14ac:dyDescent="0.35">
      <c r="I1374" s="545"/>
    </row>
    <row r="1375" spans="9:9" s="10" customFormat="1" x14ac:dyDescent="0.35">
      <c r="I1375" s="545"/>
    </row>
    <row r="1376" spans="9:9" s="10" customFormat="1" x14ac:dyDescent="0.35">
      <c r="I1376" s="545"/>
    </row>
    <row r="1377" spans="9:9" s="10" customFormat="1" x14ac:dyDescent="0.35">
      <c r="I1377" s="545"/>
    </row>
    <row r="1378" spans="9:9" s="10" customFormat="1" x14ac:dyDescent="0.35">
      <c r="I1378" s="545"/>
    </row>
    <row r="1379" spans="9:9" s="10" customFormat="1" x14ac:dyDescent="0.35">
      <c r="I1379" s="545"/>
    </row>
    <row r="1380" spans="9:9" s="10" customFormat="1" x14ac:dyDescent="0.35">
      <c r="I1380" s="545"/>
    </row>
    <row r="1381" spans="9:9" s="10" customFormat="1" x14ac:dyDescent="0.35">
      <c r="I1381" s="545"/>
    </row>
    <row r="1382" spans="9:9" s="10" customFormat="1" x14ac:dyDescent="0.35">
      <c r="I1382" s="545"/>
    </row>
    <row r="1383" spans="9:9" s="10" customFormat="1" x14ac:dyDescent="0.35">
      <c r="I1383" s="545"/>
    </row>
    <row r="1384" spans="9:9" s="10" customFormat="1" x14ac:dyDescent="0.35">
      <c r="I1384" s="545"/>
    </row>
    <row r="1385" spans="9:9" s="10" customFormat="1" x14ac:dyDescent="0.35">
      <c r="I1385" s="545"/>
    </row>
    <row r="1386" spans="9:9" s="10" customFormat="1" x14ac:dyDescent="0.35">
      <c r="I1386" s="545"/>
    </row>
    <row r="1387" spans="9:9" s="10" customFormat="1" x14ac:dyDescent="0.35">
      <c r="I1387" s="545"/>
    </row>
    <row r="1388" spans="9:9" s="10" customFormat="1" x14ac:dyDescent="0.35">
      <c r="I1388" s="545"/>
    </row>
    <row r="1389" spans="9:9" s="10" customFormat="1" x14ac:dyDescent="0.35">
      <c r="I1389" s="545"/>
    </row>
    <row r="1390" spans="9:9" s="10" customFormat="1" x14ac:dyDescent="0.35">
      <c r="I1390" s="545"/>
    </row>
    <row r="1391" spans="9:9" s="10" customFormat="1" x14ac:dyDescent="0.35">
      <c r="I1391" s="545"/>
    </row>
    <row r="1392" spans="9:9" s="10" customFormat="1" x14ac:dyDescent="0.35">
      <c r="I1392" s="545"/>
    </row>
    <row r="1393" spans="9:9" s="10" customFormat="1" x14ac:dyDescent="0.35">
      <c r="I1393" s="545"/>
    </row>
    <row r="1394" spans="9:9" s="10" customFormat="1" x14ac:dyDescent="0.35">
      <c r="I1394" s="545"/>
    </row>
    <row r="1395" spans="9:9" s="10" customFormat="1" x14ac:dyDescent="0.35">
      <c r="I1395" s="545"/>
    </row>
    <row r="1396" spans="9:9" s="10" customFormat="1" x14ac:dyDescent="0.35">
      <c r="I1396" s="545"/>
    </row>
    <row r="1397" spans="9:9" s="10" customFormat="1" x14ac:dyDescent="0.35">
      <c r="I1397" s="545"/>
    </row>
    <row r="1398" spans="9:9" s="10" customFormat="1" x14ac:dyDescent="0.35">
      <c r="I1398" s="545"/>
    </row>
    <row r="1399" spans="9:9" s="10" customFormat="1" x14ac:dyDescent="0.35">
      <c r="I1399" s="545"/>
    </row>
    <row r="1400" spans="9:9" s="10" customFormat="1" x14ac:dyDescent="0.35">
      <c r="I1400" s="545"/>
    </row>
    <row r="1401" spans="9:9" s="10" customFormat="1" x14ac:dyDescent="0.35">
      <c r="I1401" s="545"/>
    </row>
    <row r="1402" spans="9:9" s="10" customFormat="1" x14ac:dyDescent="0.35">
      <c r="I1402" s="545"/>
    </row>
    <row r="1403" spans="9:9" s="10" customFormat="1" x14ac:dyDescent="0.35">
      <c r="I1403" s="545"/>
    </row>
    <row r="1404" spans="9:9" s="10" customFormat="1" x14ac:dyDescent="0.35">
      <c r="I1404" s="545"/>
    </row>
    <row r="1405" spans="9:9" s="10" customFormat="1" x14ac:dyDescent="0.35">
      <c r="I1405" s="545"/>
    </row>
    <row r="1406" spans="9:9" s="10" customFormat="1" x14ac:dyDescent="0.35">
      <c r="I1406" s="545"/>
    </row>
    <row r="1407" spans="9:9" s="10" customFormat="1" x14ac:dyDescent="0.35">
      <c r="I1407" s="545"/>
    </row>
    <row r="1408" spans="9:9" s="10" customFormat="1" x14ac:dyDescent="0.35">
      <c r="I1408" s="545"/>
    </row>
    <row r="1409" spans="9:9" s="10" customFormat="1" x14ac:dyDescent="0.35">
      <c r="I1409" s="545"/>
    </row>
    <row r="1410" spans="9:9" s="10" customFormat="1" x14ac:dyDescent="0.35">
      <c r="I1410" s="545"/>
    </row>
    <row r="1411" spans="9:9" s="10" customFormat="1" x14ac:dyDescent="0.35">
      <c r="I1411" s="545"/>
    </row>
    <row r="1412" spans="9:9" s="10" customFormat="1" x14ac:dyDescent="0.35">
      <c r="I1412" s="545"/>
    </row>
    <row r="1413" spans="9:9" s="10" customFormat="1" x14ac:dyDescent="0.35">
      <c r="I1413" s="545"/>
    </row>
    <row r="1414" spans="9:9" s="10" customFormat="1" x14ac:dyDescent="0.35">
      <c r="I1414" s="545"/>
    </row>
    <row r="1415" spans="9:9" s="10" customFormat="1" x14ac:dyDescent="0.35">
      <c r="I1415" s="545"/>
    </row>
    <row r="1416" spans="9:9" s="10" customFormat="1" x14ac:dyDescent="0.35">
      <c r="I1416" s="545"/>
    </row>
    <row r="1417" spans="9:9" s="10" customFormat="1" x14ac:dyDescent="0.35">
      <c r="I1417" s="545"/>
    </row>
    <row r="1418" spans="9:9" s="10" customFormat="1" x14ac:dyDescent="0.35">
      <c r="I1418" s="545"/>
    </row>
    <row r="1419" spans="9:9" s="10" customFormat="1" x14ac:dyDescent="0.35">
      <c r="I1419" s="545"/>
    </row>
    <row r="1420" spans="9:9" s="10" customFormat="1" x14ac:dyDescent="0.35">
      <c r="I1420" s="545"/>
    </row>
    <row r="1421" spans="9:9" s="10" customFormat="1" x14ac:dyDescent="0.35">
      <c r="I1421" s="545"/>
    </row>
    <row r="1422" spans="9:9" s="10" customFormat="1" x14ac:dyDescent="0.35">
      <c r="I1422" s="545"/>
    </row>
    <row r="1423" spans="9:9" s="10" customFormat="1" x14ac:dyDescent="0.35">
      <c r="I1423" s="545"/>
    </row>
    <row r="1424" spans="9:9" s="10" customFormat="1" x14ac:dyDescent="0.35">
      <c r="I1424" s="545"/>
    </row>
    <row r="1425" spans="9:9" s="10" customFormat="1" x14ac:dyDescent="0.35">
      <c r="I1425" s="545"/>
    </row>
    <row r="1426" spans="9:9" s="10" customFormat="1" x14ac:dyDescent="0.35">
      <c r="I1426" s="545"/>
    </row>
    <row r="1427" spans="9:9" s="10" customFormat="1" x14ac:dyDescent="0.35">
      <c r="I1427" s="545"/>
    </row>
    <row r="1428" spans="9:9" s="10" customFormat="1" x14ac:dyDescent="0.35">
      <c r="I1428" s="545"/>
    </row>
    <row r="1429" spans="9:9" s="10" customFormat="1" x14ac:dyDescent="0.35">
      <c r="I1429" s="545"/>
    </row>
    <row r="1430" spans="9:9" s="10" customFormat="1" x14ac:dyDescent="0.35">
      <c r="I1430" s="545"/>
    </row>
    <row r="1431" spans="9:9" s="10" customFormat="1" x14ac:dyDescent="0.35">
      <c r="I1431" s="545"/>
    </row>
    <row r="1432" spans="9:9" s="10" customFormat="1" x14ac:dyDescent="0.35">
      <c r="I1432" s="545"/>
    </row>
    <row r="1433" spans="9:9" s="10" customFormat="1" x14ac:dyDescent="0.35">
      <c r="I1433" s="545"/>
    </row>
    <row r="1434" spans="9:9" s="10" customFormat="1" x14ac:dyDescent="0.35">
      <c r="I1434" s="545"/>
    </row>
    <row r="1435" spans="9:9" s="10" customFormat="1" x14ac:dyDescent="0.35">
      <c r="I1435" s="545"/>
    </row>
    <row r="1436" spans="9:9" s="10" customFormat="1" x14ac:dyDescent="0.35">
      <c r="I1436" s="545"/>
    </row>
    <row r="1437" spans="9:9" s="10" customFormat="1" x14ac:dyDescent="0.35">
      <c r="I1437" s="545"/>
    </row>
    <row r="1438" spans="9:9" s="10" customFormat="1" x14ac:dyDescent="0.35">
      <c r="I1438" s="545"/>
    </row>
    <row r="1439" spans="9:9" s="10" customFormat="1" x14ac:dyDescent="0.35">
      <c r="I1439" s="545"/>
    </row>
    <row r="1440" spans="9:9" s="10" customFormat="1" x14ac:dyDescent="0.35">
      <c r="I1440" s="545"/>
    </row>
    <row r="1441" spans="9:9" s="10" customFormat="1" x14ac:dyDescent="0.35">
      <c r="I1441" s="545"/>
    </row>
    <row r="1442" spans="9:9" s="10" customFormat="1" x14ac:dyDescent="0.35">
      <c r="I1442" s="545"/>
    </row>
    <row r="1443" spans="9:9" s="10" customFormat="1" x14ac:dyDescent="0.35">
      <c r="I1443" s="545"/>
    </row>
    <row r="1444" spans="9:9" s="10" customFormat="1" x14ac:dyDescent="0.35">
      <c r="I1444" s="545"/>
    </row>
    <row r="1445" spans="9:9" s="10" customFormat="1" x14ac:dyDescent="0.35">
      <c r="I1445" s="545"/>
    </row>
    <row r="1446" spans="9:9" s="10" customFormat="1" x14ac:dyDescent="0.35">
      <c r="I1446" s="545"/>
    </row>
    <row r="1447" spans="9:9" s="10" customFormat="1" x14ac:dyDescent="0.35">
      <c r="I1447" s="545"/>
    </row>
    <row r="1448" spans="9:9" s="10" customFormat="1" x14ac:dyDescent="0.35">
      <c r="I1448" s="545"/>
    </row>
    <row r="1449" spans="9:9" s="10" customFormat="1" x14ac:dyDescent="0.35">
      <c r="I1449" s="545"/>
    </row>
    <row r="1450" spans="9:9" s="10" customFormat="1" x14ac:dyDescent="0.35">
      <c r="I1450" s="545"/>
    </row>
    <row r="1451" spans="9:9" s="10" customFormat="1" x14ac:dyDescent="0.35">
      <c r="I1451" s="545"/>
    </row>
    <row r="1452" spans="9:9" s="10" customFormat="1" x14ac:dyDescent="0.35">
      <c r="I1452" s="545"/>
    </row>
    <row r="1453" spans="9:9" s="10" customFormat="1" x14ac:dyDescent="0.35">
      <c r="I1453" s="545"/>
    </row>
    <row r="1454" spans="9:9" s="10" customFormat="1" x14ac:dyDescent="0.35">
      <c r="I1454" s="545"/>
    </row>
    <row r="1455" spans="9:9" s="10" customFormat="1" x14ac:dyDescent="0.35">
      <c r="I1455" s="545"/>
    </row>
    <row r="1456" spans="9:9" s="10" customFormat="1" x14ac:dyDescent="0.35">
      <c r="I1456" s="545"/>
    </row>
    <row r="1457" spans="9:9" s="10" customFormat="1" x14ac:dyDescent="0.35">
      <c r="I1457" s="545"/>
    </row>
    <row r="1458" spans="9:9" s="10" customFormat="1" x14ac:dyDescent="0.35">
      <c r="I1458" s="545"/>
    </row>
    <row r="1459" spans="9:9" s="10" customFormat="1" x14ac:dyDescent="0.35">
      <c r="I1459" s="545"/>
    </row>
    <row r="1460" spans="9:9" s="10" customFormat="1" x14ac:dyDescent="0.35">
      <c r="I1460" s="545"/>
    </row>
    <row r="1461" spans="9:9" s="10" customFormat="1" x14ac:dyDescent="0.35">
      <c r="I1461" s="545"/>
    </row>
    <row r="1462" spans="9:9" s="10" customFormat="1" x14ac:dyDescent="0.35">
      <c r="I1462" s="545"/>
    </row>
    <row r="1463" spans="9:9" s="10" customFormat="1" x14ac:dyDescent="0.35">
      <c r="I1463" s="545"/>
    </row>
    <row r="1464" spans="9:9" s="10" customFormat="1" x14ac:dyDescent="0.35">
      <c r="I1464" s="545"/>
    </row>
    <row r="1465" spans="9:9" s="10" customFormat="1" x14ac:dyDescent="0.35">
      <c r="I1465" s="545"/>
    </row>
    <row r="1466" spans="9:9" s="10" customFormat="1" x14ac:dyDescent="0.35">
      <c r="I1466" s="545"/>
    </row>
    <row r="1467" spans="9:9" s="10" customFormat="1" x14ac:dyDescent="0.35">
      <c r="I1467" s="545"/>
    </row>
    <row r="1468" spans="9:9" s="10" customFormat="1" x14ac:dyDescent="0.35">
      <c r="I1468" s="545"/>
    </row>
    <row r="1469" spans="9:9" s="10" customFormat="1" x14ac:dyDescent="0.35">
      <c r="I1469" s="545"/>
    </row>
    <row r="1470" spans="9:9" s="10" customFormat="1" x14ac:dyDescent="0.35">
      <c r="I1470" s="545"/>
    </row>
    <row r="1471" spans="9:9" s="10" customFormat="1" x14ac:dyDescent="0.35">
      <c r="I1471" s="545"/>
    </row>
    <row r="1472" spans="9:9" s="10" customFormat="1" x14ac:dyDescent="0.35">
      <c r="I1472" s="545"/>
    </row>
    <row r="1473" spans="9:9" s="10" customFormat="1" x14ac:dyDescent="0.35">
      <c r="I1473" s="545"/>
    </row>
    <row r="1474" spans="9:9" s="10" customFormat="1" x14ac:dyDescent="0.35">
      <c r="I1474" s="545"/>
    </row>
    <row r="1475" spans="9:9" s="10" customFormat="1" x14ac:dyDescent="0.35">
      <c r="I1475" s="545"/>
    </row>
    <row r="1476" spans="9:9" s="10" customFormat="1" x14ac:dyDescent="0.35">
      <c r="I1476" s="545"/>
    </row>
    <row r="1477" spans="9:9" s="10" customFormat="1" x14ac:dyDescent="0.35">
      <c r="I1477" s="545"/>
    </row>
    <row r="1478" spans="9:9" s="10" customFormat="1" x14ac:dyDescent="0.35">
      <c r="I1478" s="545"/>
    </row>
    <row r="1479" spans="9:9" s="10" customFormat="1" x14ac:dyDescent="0.35">
      <c r="I1479" s="545"/>
    </row>
    <row r="1480" spans="9:9" s="10" customFormat="1" x14ac:dyDescent="0.35">
      <c r="I1480" s="545"/>
    </row>
    <row r="1481" spans="9:9" s="10" customFormat="1" x14ac:dyDescent="0.35">
      <c r="I1481" s="545"/>
    </row>
    <row r="1482" spans="9:9" s="10" customFormat="1" x14ac:dyDescent="0.35">
      <c r="I1482" s="545"/>
    </row>
    <row r="1483" spans="9:9" s="10" customFormat="1" x14ac:dyDescent="0.35">
      <c r="I1483" s="545"/>
    </row>
    <row r="1484" spans="9:9" s="10" customFormat="1" x14ac:dyDescent="0.35">
      <c r="I1484" s="545"/>
    </row>
    <row r="1485" spans="9:9" s="10" customFormat="1" x14ac:dyDescent="0.35">
      <c r="I1485" s="545"/>
    </row>
    <row r="1486" spans="9:9" s="10" customFormat="1" x14ac:dyDescent="0.35">
      <c r="I1486" s="545"/>
    </row>
    <row r="1487" spans="9:9" s="10" customFormat="1" x14ac:dyDescent="0.35">
      <c r="I1487" s="545"/>
    </row>
    <row r="1488" spans="9:9" s="10" customFormat="1" x14ac:dyDescent="0.35">
      <c r="I1488" s="545"/>
    </row>
    <row r="1489" spans="9:9" s="10" customFormat="1" x14ac:dyDescent="0.35">
      <c r="I1489" s="545"/>
    </row>
    <row r="1490" spans="9:9" s="10" customFormat="1" x14ac:dyDescent="0.35">
      <c r="I1490" s="545"/>
    </row>
    <row r="1491" spans="9:9" s="10" customFormat="1" x14ac:dyDescent="0.35">
      <c r="I1491" s="545"/>
    </row>
    <row r="1492" spans="9:9" s="10" customFormat="1" x14ac:dyDescent="0.35">
      <c r="I1492" s="545"/>
    </row>
    <row r="1493" spans="9:9" s="10" customFormat="1" x14ac:dyDescent="0.35">
      <c r="I1493" s="545"/>
    </row>
    <row r="1494" spans="9:9" s="10" customFormat="1" x14ac:dyDescent="0.35">
      <c r="I1494" s="545"/>
    </row>
    <row r="1495" spans="9:9" s="10" customFormat="1" x14ac:dyDescent="0.35">
      <c r="I1495" s="545"/>
    </row>
    <row r="1496" spans="9:9" s="10" customFormat="1" x14ac:dyDescent="0.35">
      <c r="I1496" s="545"/>
    </row>
    <row r="1497" spans="9:9" s="10" customFormat="1" x14ac:dyDescent="0.35">
      <c r="I1497" s="545"/>
    </row>
    <row r="1498" spans="9:9" s="10" customFormat="1" x14ac:dyDescent="0.35">
      <c r="I1498" s="545"/>
    </row>
    <row r="1499" spans="9:9" s="10" customFormat="1" x14ac:dyDescent="0.35">
      <c r="I1499" s="545"/>
    </row>
    <row r="1500" spans="9:9" s="10" customFormat="1" x14ac:dyDescent="0.35">
      <c r="I1500" s="545"/>
    </row>
    <row r="1501" spans="9:9" s="10" customFormat="1" x14ac:dyDescent="0.35">
      <c r="I1501" s="545"/>
    </row>
    <row r="1502" spans="9:9" s="10" customFormat="1" x14ac:dyDescent="0.35">
      <c r="I1502" s="545"/>
    </row>
    <row r="1503" spans="9:9" s="10" customFormat="1" x14ac:dyDescent="0.35">
      <c r="I1503" s="545"/>
    </row>
    <row r="1504" spans="9:9" s="10" customFormat="1" x14ac:dyDescent="0.35">
      <c r="I1504" s="545"/>
    </row>
    <row r="1505" spans="9:9" s="10" customFormat="1" x14ac:dyDescent="0.35">
      <c r="I1505" s="545"/>
    </row>
    <row r="1506" spans="9:9" s="10" customFormat="1" x14ac:dyDescent="0.35">
      <c r="I1506" s="545"/>
    </row>
    <row r="1507" spans="9:9" s="10" customFormat="1" x14ac:dyDescent="0.35">
      <c r="I1507" s="545"/>
    </row>
    <row r="1508" spans="9:9" s="10" customFormat="1" x14ac:dyDescent="0.35">
      <c r="I1508" s="545"/>
    </row>
    <row r="1509" spans="9:9" s="10" customFormat="1" x14ac:dyDescent="0.35">
      <c r="I1509" s="545"/>
    </row>
    <row r="1510" spans="9:9" s="10" customFormat="1" x14ac:dyDescent="0.35">
      <c r="I1510" s="545"/>
    </row>
    <row r="1511" spans="9:9" s="10" customFormat="1" x14ac:dyDescent="0.35">
      <c r="I1511" s="545"/>
    </row>
    <row r="1512" spans="9:9" s="10" customFormat="1" x14ac:dyDescent="0.35">
      <c r="I1512" s="545"/>
    </row>
    <row r="1513" spans="9:9" s="10" customFormat="1" x14ac:dyDescent="0.35">
      <c r="I1513" s="545"/>
    </row>
    <row r="1514" spans="9:9" s="10" customFormat="1" x14ac:dyDescent="0.35">
      <c r="I1514" s="545"/>
    </row>
    <row r="1515" spans="9:9" s="10" customFormat="1" x14ac:dyDescent="0.35">
      <c r="I1515" s="545"/>
    </row>
    <row r="1516" spans="9:9" s="10" customFormat="1" x14ac:dyDescent="0.35">
      <c r="I1516" s="545"/>
    </row>
    <row r="1517" spans="9:9" s="10" customFormat="1" x14ac:dyDescent="0.35">
      <c r="I1517" s="545"/>
    </row>
    <row r="1518" spans="9:9" s="10" customFormat="1" x14ac:dyDescent="0.35">
      <c r="I1518" s="545"/>
    </row>
    <row r="1519" spans="9:9" s="10" customFormat="1" x14ac:dyDescent="0.35">
      <c r="I1519" s="545"/>
    </row>
    <row r="1520" spans="9:9" s="10" customFormat="1" x14ac:dyDescent="0.35">
      <c r="I1520" s="545"/>
    </row>
    <row r="1521" spans="9:9" s="10" customFormat="1" x14ac:dyDescent="0.35">
      <c r="I1521" s="545"/>
    </row>
    <row r="1522" spans="9:9" s="10" customFormat="1" x14ac:dyDescent="0.35">
      <c r="I1522" s="545"/>
    </row>
    <row r="1523" spans="9:9" s="10" customFormat="1" x14ac:dyDescent="0.35">
      <c r="I1523" s="545"/>
    </row>
    <row r="1524" spans="9:9" s="10" customFormat="1" x14ac:dyDescent="0.35">
      <c r="I1524" s="545"/>
    </row>
    <row r="1525" spans="9:9" s="10" customFormat="1" x14ac:dyDescent="0.35">
      <c r="I1525" s="545"/>
    </row>
    <row r="1526" spans="9:9" s="10" customFormat="1" x14ac:dyDescent="0.35">
      <c r="I1526" s="545"/>
    </row>
    <row r="1527" spans="9:9" s="10" customFormat="1" x14ac:dyDescent="0.35">
      <c r="I1527" s="545"/>
    </row>
    <row r="1528" spans="9:9" s="10" customFormat="1" x14ac:dyDescent="0.35">
      <c r="I1528" s="545"/>
    </row>
    <row r="1529" spans="9:9" s="10" customFormat="1" x14ac:dyDescent="0.35">
      <c r="I1529" s="545"/>
    </row>
    <row r="1530" spans="9:9" s="10" customFormat="1" x14ac:dyDescent="0.35">
      <c r="I1530" s="545"/>
    </row>
    <row r="1531" spans="9:9" s="10" customFormat="1" x14ac:dyDescent="0.35">
      <c r="I1531" s="545"/>
    </row>
    <row r="1532" spans="9:9" s="10" customFormat="1" x14ac:dyDescent="0.35">
      <c r="I1532" s="545"/>
    </row>
    <row r="1533" spans="9:9" s="10" customFormat="1" x14ac:dyDescent="0.35">
      <c r="I1533" s="545"/>
    </row>
    <row r="1534" spans="9:9" s="10" customFormat="1" x14ac:dyDescent="0.35">
      <c r="I1534" s="545"/>
    </row>
    <row r="1535" spans="9:9" s="10" customFormat="1" x14ac:dyDescent="0.35">
      <c r="I1535" s="545"/>
    </row>
    <row r="1536" spans="9:9" s="10" customFormat="1" x14ac:dyDescent="0.35">
      <c r="I1536" s="545"/>
    </row>
    <row r="1537" spans="9:9" s="10" customFormat="1" x14ac:dyDescent="0.35">
      <c r="I1537" s="545"/>
    </row>
    <row r="1538" spans="9:9" s="10" customFormat="1" x14ac:dyDescent="0.35">
      <c r="I1538" s="545"/>
    </row>
    <row r="1539" spans="9:9" s="10" customFormat="1" x14ac:dyDescent="0.35">
      <c r="I1539" s="545"/>
    </row>
    <row r="1540" spans="9:9" s="10" customFormat="1" x14ac:dyDescent="0.35">
      <c r="I1540" s="545"/>
    </row>
    <row r="1541" spans="9:9" s="10" customFormat="1" x14ac:dyDescent="0.35">
      <c r="I1541" s="545"/>
    </row>
    <row r="1542" spans="9:9" s="10" customFormat="1" x14ac:dyDescent="0.35">
      <c r="I1542" s="545"/>
    </row>
    <row r="1543" spans="9:9" s="10" customFormat="1" x14ac:dyDescent="0.35">
      <c r="I1543" s="545"/>
    </row>
    <row r="1544" spans="9:9" s="10" customFormat="1" x14ac:dyDescent="0.35">
      <c r="I1544" s="545"/>
    </row>
    <row r="1545" spans="9:9" s="10" customFormat="1" x14ac:dyDescent="0.35">
      <c r="I1545" s="545"/>
    </row>
    <row r="1546" spans="9:9" s="10" customFormat="1" x14ac:dyDescent="0.35">
      <c r="I1546" s="545"/>
    </row>
    <row r="1547" spans="9:9" s="10" customFormat="1" x14ac:dyDescent="0.35">
      <c r="I1547" s="545"/>
    </row>
    <row r="1548" spans="9:9" s="10" customFormat="1" x14ac:dyDescent="0.35">
      <c r="I1548" s="545"/>
    </row>
    <row r="1549" spans="9:9" s="10" customFormat="1" x14ac:dyDescent="0.35">
      <c r="I1549" s="545"/>
    </row>
    <row r="1550" spans="9:9" s="10" customFormat="1" x14ac:dyDescent="0.35">
      <c r="I1550" s="545"/>
    </row>
    <row r="1551" spans="9:9" s="10" customFormat="1" x14ac:dyDescent="0.35">
      <c r="I1551" s="545"/>
    </row>
    <row r="1552" spans="9:9" s="10" customFormat="1" x14ac:dyDescent="0.35">
      <c r="I1552" s="545"/>
    </row>
    <row r="1553" spans="9:9" s="10" customFormat="1" x14ac:dyDescent="0.35">
      <c r="I1553" s="545"/>
    </row>
    <row r="1554" spans="9:9" s="10" customFormat="1" x14ac:dyDescent="0.35">
      <c r="I1554" s="545"/>
    </row>
    <row r="1555" spans="9:9" s="10" customFormat="1" x14ac:dyDescent="0.35">
      <c r="I1555" s="545"/>
    </row>
    <row r="1556" spans="9:9" s="10" customFormat="1" x14ac:dyDescent="0.35">
      <c r="I1556" s="545"/>
    </row>
    <row r="1557" spans="9:9" s="10" customFormat="1" x14ac:dyDescent="0.35">
      <c r="I1557" s="545"/>
    </row>
    <row r="1558" spans="9:9" s="10" customFormat="1" x14ac:dyDescent="0.35">
      <c r="I1558" s="545"/>
    </row>
    <row r="1559" spans="9:9" s="10" customFormat="1" x14ac:dyDescent="0.35">
      <c r="I1559" s="545"/>
    </row>
    <row r="1560" spans="9:9" s="10" customFormat="1" x14ac:dyDescent="0.35">
      <c r="I1560" s="545"/>
    </row>
    <row r="1561" spans="9:9" s="10" customFormat="1" x14ac:dyDescent="0.35">
      <c r="I1561" s="545"/>
    </row>
    <row r="1562" spans="9:9" s="10" customFormat="1" x14ac:dyDescent="0.35">
      <c r="I1562" s="545"/>
    </row>
    <row r="1563" spans="9:9" s="10" customFormat="1" x14ac:dyDescent="0.35">
      <c r="I1563" s="545"/>
    </row>
    <row r="1564" spans="9:9" s="10" customFormat="1" x14ac:dyDescent="0.35">
      <c r="I1564" s="545"/>
    </row>
    <row r="1565" spans="9:9" s="10" customFormat="1" x14ac:dyDescent="0.35">
      <c r="I1565" s="545"/>
    </row>
    <row r="1566" spans="9:9" s="10" customFormat="1" x14ac:dyDescent="0.35">
      <c r="I1566" s="545"/>
    </row>
    <row r="1567" spans="9:9" s="10" customFormat="1" x14ac:dyDescent="0.35">
      <c r="I1567" s="545"/>
    </row>
    <row r="1568" spans="9:9" s="10" customFormat="1" x14ac:dyDescent="0.35">
      <c r="I1568" s="545"/>
    </row>
    <row r="1569" spans="9:9" s="10" customFormat="1" x14ac:dyDescent="0.35">
      <c r="I1569" s="545"/>
    </row>
    <row r="1570" spans="9:9" s="10" customFormat="1" x14ac:dyDescent="0.35">
      <c r="I1570" s="545"/>
    </row>
    <row r="1571" spans="9:9" s="10" customFormat="1" x14ac:dyDescent="0.35">
      <c r="I1571" s="545"/>
    </row>
    <row r="1572" spans="9:9" s="10" customFormat="1" x14ac:dyDescent="0.35">
      <c r="I1572" s="545"/>
    </row>
    <row r="1573" spans="9:9" s="10" customFormat="1" x14ac:dyDescent="0.35">
      <c r="I1573" s="545"/>
    </row>
    <row r="1574" spans="9:9" s="10" customFormat="1" x14ac:dyDescent="0.35">
      <c r="I1574" s="545"/>
    </row>
    <row r="1575" spans="9:9" s="10" customFormat="1" x14ac:dyDescent="0.35">
      <c r="I1575" s="545"/>
    </row>
    <row r="1576" spans="9:9" s="10" customFormat="1" x14ac:dyDescent="0.35">
      <c r="I1576" s="545"/>
    </row>
    <row r="1577" spans="9:9" s="10" customFormat="1" x14ac:dyDescent="0.35">
      <c r="I1577" s="545"/>
    </row>
    <row r="1578" spans="9:9" s="10" customFormat="1" x14ac:dyDescent="0.35">
      <c r="I1578" s="545"/>
    </row>
    <row r="1579" spans="9:9" s="10" customFormat="1" x14ac:dyDescent="0.35">
      <c r="I1579" s="545"/>
    </row>
    <row r="1580" spans="9:9" s="10" customFormat="1" x14ac:dyDescent="0.35">
      <c r="I1580" s="545"/>
    </row>
    <row r="1581" spans="9:9" s="10" customFormat="1" x14ac:dyDescent="0.35">
      <c r="I1581" s="545"/>
    </row>
    <row r="1582" spans="9:9" s="10" customFormat="1" x14ac:dyDescent="0.35">
      <c r="I1582" s="545"/>
    </row>
    <row r="1583" spans="9:9" s="10" customFormat="1" x14ac:dyDescent="0.35">
      <c r="I1583" s="545"/>
    </row>
    <row r="1584" spans="9:9" s="10" customFormat="1" x14ac:dyDescent="0.35">
      <c r="I1584" s="545"/>
    </row>
    <row r="1585" spans="9:9" s="10" customFormat="1" x14ac:dyDescent="0.35">
      <c r="I1585" s="545"/>
    </row>
    <row r="1586" spans="9:9" s="10" customFormat="1" x14ac:dyDescent="0.35">
      <c r="I1586" s="545"/>
    </row>
    <row r="1587" spans="9:9" s="10" customFormat="1" x14ac:dyDescent="0.35">
      <c r="I1587" s="545"/>
    </row>
    <row r="1588" spans="9:9" s="10" customFormat="1" x14ac:dyDescent="0.35">
      <c r="I1588" s="545"/>
    </row>
    <row r="1589" spans="9:9" s="10" customFormat="1" x14ac:dyDescent="0.35">
      <c r="I1589" s="545"/>
    </row>
    <row r="1590" spans="9:9" s="10" customFormat="1" x14ac:dyDescent="0.35">
      <c r="I1590" s="545"/>
    </row>
    <row r="1591" spans="9:9" s="10" customFormat="1" x14ac:dyDescent="0.35">
      <c r="I1591" s="545"/>
    </row>
    <row r="1592" spans="9:9" s="10" customFormat="1" x14ac:dyDescent="0.35">
      <c r="I1592" s="545"/>
    </row>
    <row r="1593" spans="9:9" s="10" customFormat="1" x14ac:dyDescent="0.35">
      <c r="I1593" s="545"/>
    </row>
    <row r="1594" spans="9:9" s="10" customFormat="1" x14ac:dyDescent="0.35">
      <c r="I1594" s="545"/>
    </row>
    <row r="1595" spans="9:9" s="10" customFormat="1" x14ac:dyDescent="0.35">
      <c r="I1595" s="545"/>
    </row>
    <row r="1596" spans="9:9" s="10" customFormat="1" x14ac:dyDescent="0.35">
      <c r="I1596" s="545"/>
    </row>
    <row r="1597" spans="9:9" s="10" customFormat="1" x14ac:dyDescent="0.35">
      <c r="I1597" s="545"/>
    </row>
    <row r="1598" spans="9:9" s="10" customFormat="1" x14ac:dyDescent="0.35">
      <c r="I1598" s="545"/>
    </row>
    <row r="1599" spans="9:9" s="10" customFormat="1" x14ac:dyDescent="0.35">
      <c r="I1599" s="545"/>
    </row>
    <row r="1600" spans="9:9" s="10" customFormat="1" x14ac:dyDescent="0.35">
      <c r="I1600" s="545"/>
    </row>
    <row r="1601" spans="9:9" s="10" customFormat="1" x14ac:dyDescent="0.35">
      <c r="I1601" s="545"/>
    </row>
    <row r="1602" spans="9:9" s="10" customFormat="1" x14ac:dyDescent="0.35">
      <c r="I1602" s="545"/>
    </row>
    <row r="1603" spans="9:9" s="10" customFormat="1" x14ac:dyDescent="0.35">
      <c r="I1603" s="545"/>
    </row>
    <row r="1604" spans="9:9" s="10" customFormat="1" x14ac:dyDescent="0.35">
      <c r="I1604" s="545"/>
    </row>
    <row r="1605" spans="9:9" s="10" customFormat="1" x14ac:dyDescent="0.35">
      <c r="I1605" s="545"/>
    </row>
    <row r="1606" spans="9:9" s="10" customFormat="1" x14ac:dyDescent="0.35">
      <c r="I1606" s="545"/>
    </row>
    <row r="1607" spans="9:9" s="10" customFormat="1" x14ac:dyDescent="0.35">
      <c r="I1607" s="545"/>
    </row>
    <row r="1608" spans="9:9" s="10" customFormat="1" x14ac:dyDescent="0.35">
      <c r="I1608" s="545"/>
    </row>
    <row r="1609" spans="9:9" s="10" customFormat="1" x14ac:dyDescent="0.35">
      <c r="I1609" s="545"/>
    </row>
    <row r="1610" spans="9:9" s="10" customFormat="1" x14ac:dyDescent="0.35">
      <c r="I1610" s="545"/>
    </row>
    <row r="1611" spans="9:9" s="10" customFormat="1" x14ac:dyDescent="0.35">
      <c r="I1611" s="545"/>
    </row>
    <row r="1612" spans="9:9" s="10" customFormat="1" x14ac:dyDescent="0.35">
      <c r="I1612" s="545"/>
    </row>
    <row r="1613" spans="9:9" s="10" customFormat="1" x14ac:dyDescent="0.35">
      <c r="I1613" s="545"/>
    </row>
    <row r="1614" spans="9:9" s="10" customFormat="1" x14ac:dyDescent="0.35">
      <c r="I1614" s="545"/>
    </row>
    <row r="1615" spans="9:9" s="10" customFormat="1" x14ac:dyDescent="0.35">
      <c r="I1615" s="545"/>
    </row>
    <row r="1616" spans="9:9" s="10" customFormat="1" x14ac:dyDescent="0.35">
      <c r="I1616" s="545"/>
    </row>
    <row r="1617" spans="9:9" s="10" customFormat="1" x14ac:dyDescent="0.35">
      <c r="I1617" s="545"/>
    </row>
    <row r="1618" spans="9:9" s="10" customFormat="1" x14ac:dyDescent="0.35">
      <c r="I1618" s="545"/>
    </row>
    <row r="1619" spans="9:9" s="10" customFormat="1" x14ac:dyDescent="0.35">
      <c r="I1619" s="545"/>
    </row>
    <row r="1620" spans="9:9" s="10" customFormat="1" x14ac:dyDescent="0.35">
      <c r="I1620" s="545"/>
    </row>
    <row r="1621" spans="9:9" s="10" customFormat="1" x14ac:dyDescent="0.35">
      <c r="I1621" s="545"/>
    </row>
    <row r="1622" spans="9:9" s="10" customFormat="1" x14ac:dyDescent="0.35">
      <c r="I1622" s="545"/>
    </row>
    <row r="1623" spans="9:9" s="10" customFormat="1" x14ac:dyDescent="0.35">
      <c r="I1623" s="545"/>
    </row>
    <row r="1624" spans="9:9" s="10" customFormat="1" x14ac:dyDescent="0.35">
      <c r="I1624" s="545"/>
    </row>
    <row r="1625" spans="9:9" s="10" customFormat="1" x14ac:dyDescent="0.35">
      <c r="I1625" s="545"/>
    </row>
    <row r="1626" spans="9:9" s="10" customFormat="1" x14ac:dyDescent="0.35">
      <c r="I1626" s="545"/>
    </row>
    <row r="1627" spans="9:9" s="10" customFormat="1" x14ac:dyDescent="0.35">
      <c r="I1627" s="545"/>
    </row>
    <row r="1628" spans="9:9" s="10" customFormat="1" x14ac:dyDescent="0.35">
      <c r="I1628" s="545"/>
    </row>
    <row r="1629" spans="9:9" s="10" customFormat="1" x14ac:dyDescent="0.35">
      <c r="I1629" s="545"/>
    </row>
    <row r="1630" spans="9:9" s="10" customFormat="1" x14ac:dyDescent="0.35">
      <c r="I1630" s="545"/>
    </row>
    <row r="1631" spans="9:9" s="10" customFormat="1" x14ac:dyDescent="0.35">
      <c r="I1631" s="545"/>
    </row>
    <row r="1632" spans="9:9" s="10" customFormat="1" x14ac:dyDescent="0.35">
      <c r="I1632" s="545"/>
    </row>
    <row r="1633" spans="9:9" s="10" customFormat="1" x14ac:dyDescent="0.35">
      <c r="I1633" s="545"/>
    </row>
    <row r="1634" spans="9:9" s="10" customFormat="1" x14ac:dyDescent="0.35">
      <c r="I1634" s="545"/>
    </row>
    <row r="1635" spans="9:9" s="10" customFormat="1" x14ac:dyDescent="0.35">
      <c r="I1635" s="545"/>
    </row>
    <row r="1636" spans="9:9" s="10" customFormat="1" x14ac:dyDescent="0.35">
      <c r="I1636" s="545"/>
    </row>
    <row r="1637" spans="9:9" s="10" customFormat="1" x14ac:dyDescent="0.35">
      <c r="I1637" s="545"/>
    </row>
    <row r="1638" spans="9:9" s="10" customFormat="1" x14ac:dyDescent="0.35">
      <c r="I1638" s="545"/>
    </row>
    <row r="1639" spans="9:9" s="10" customFormat="1" x14ac:dyDescent="0.35">
      <c r="I1639" s="545"/>
    </row>
    <row r="1640" spans="9:9" s="10" customFormat="1" x14ac:dyDescent="0.35">
      <c r="I1640" s="545"/>
    </row>
    <row r="1641" spans="9:9" s="10" customFormat="1" x14ac:dyDescent="0.35">
      <c r="I1641" s="545"/>
    </row>
    <row r="1642" spans="9:9" s="10" customFormat="1" x14ac:dyDescent="0.35">
      <c r="I1642" s="545"/>
    </row>
    <row r="1643" spans="9:9" s="10" customFormat="1" x14ac:dyDescent="0.35">
      <c r="I1643" s="545"/>
    </row>
    <row r="1644" spans="9:9" s="10" customFormat="1" x14ac:dyDescent="0.35">
      <c r="I1644" s="545"/>
    </row>
    <row r="1645" spans="9:9" s="10" customFormat="1" x14ac:dyDescent="0.35">
      <c r="I1645" s="545"/>
    </row>
    <row r="1646" spans="9:9" s="10" customFormat="1" x14ac:dyDescent="0.35">
      <c r="I1646" s="545"/>
    </row>
    <row r="1647" spans="9:9" s="10" customFormat="1" x14ac:dyDescent="0.35">
      <c r="I1647" s="545"/>
    </row>
    <row r="1648" spans="9:9" s="10" customFormat="1" x14ac:dyDescent="0.35">
      <c r="I1648" s="545"/>
    </row>
    <row r="1649" spans="9:9" s="10" customFormat="1" x14ac:dyDescent="0.35">
      <c r="I1649" s="545"/>
    </row>
    <row r="1650" spans="9:9" s="10" customFormat="1" x14ac:dyDescent="0.35">
      <c r="I1650" s="545"/>
    </row>
    <row r="1651" spans="9:9" s="10" customFormat="1" x14ac:dyDescent="0.35">
      <c r="I1651" s="545"/>
    </row>
    <row r="1652" spans="9:9" s="10" customFormat="1" x14ac:dyDescent="0.35">
      <c r="I1652" s="545"/>
    </row>
    <row r="1653" spans="9:9" s="10" customFormat="1" x14ac:dyDescent="0.35">
      <c r="I1653" s="545"/>
    </row>
    <row r="1654" spans="9:9" s="10" customFormat="1" x14ac:dyDescent="0.35">
      <c r="I1654" s="545"/>
    </row>
    <row r="1655" spans="9:9" s="10" customFormat="1" x14ac:dyDescent="0.35">
      <c r="I1655" s="545"/>
    </row>
    <row r="1656" spans="9:9" s="10" customFormat="1" x14ac:dyDescent="0.35">
      <c r="I1656" s="545"/>
    </row>
    <row r="1657" spans="9:9" s="10" customFormat="1" x14ac:dyDescent="0.35">
      <c r="I1657" s="545"/>
    </row>
    <row r="1658" spans="9:9" s="10" customFormat="1" x14ac:dyDescent="0.35">
      <c r="I1658" s="545"/>
    </row>
    <row r="1659" spans="9:9" s="10" customFormat="1" x14ac:dyDescent="0.35">
      <c r="I1659" s="545"/>
    </row>
    <row r="1660" spans="9:9" s="10" customFormat="1" x14ac:dyDescent="0.35">
      <c r="I1660" s="545"/>
    </row>
    <row r="1661" spans="9:9" s="10" customFormat="1" x14ac:dyDescent="0.35">
      <c r="I1661" s="545"/>
    </row>
    <row r="1662" spans="9:9" s="10" customFormat="1" x14ac:dyDescent="0.35">
      <c r="I1662" s="545"/>
    </row>
    <row r="1663" spans="9:9" s="10" customFormat="1" x14ac:dyDescent="0.35">
      <c r="I1663" s="545"/>
    </row>
    <row r="1664" spans="9:9" s="10" customFormat="1" x14ac:dyDescent="0.35">
      <c r="I1664" s="545"/>
    </row>
    <row r="1665" spans="9:9" s="10" customFormat="1" x14ac:dyDescent="0.35">
      <c r="I1665" s="545"/>
    </row>
    <row r="1666" spans="9:9" s="10" customFormat="1" x14ac:dyDescent="0.35">
      <c r="I1666" s="545"/>
    </row>
    <row r="1667" spans="9:9" s="10" customFormat="1" x14ac:dyDescent="0.35">
      <c r="I1667" s="545"/>
    </row>
    <row r="1668" spans="9:9" s="10" customFormat="1" x14ac:dyDescent="0.35">
      <c r="I1668" s="545"/>
    </row>
    <row r="1669" spans="9:9" s="10" customFormat="1" x14ac:dyDescent="0.35">
      <c r="I1669" s="545"/>
    </row>
    <row r="1670" spans="9:9" s="10" customFormat="1" x14ac:dyDescent="0.35">
      <c r="I1670" s="545"/>
    </row>
    <row r="1671" spans="9:9" s="10" customFormat="1" x14ac:dyDescent="0.35">
      <c r="I1671" s="545"/>
    </row>
    <row r="1672" spans="9:9" s="10" customFormat="1" x14ac:dyDescent="0.35">
      <c r="I1672" s="545"/>
    </row>
    <row r="1673" spans="9:9" s="10" customFormat="1" x14ac:dyDescent="0.35">
      <c r="I1673" s="545"/>
    </row>
    <row r="1674" spans="9:9" s="10" customFormat="1" x14ac:dyDescent="0.35">
      <c r="I1674" s="545"/>
    </row>
    <row r="1675" spans="9:9" s="10" customFormat="1" x14ac:dyDescent="0.35">
      <c r="I1675" s="545"/>
    </row>
    <row r="1676" spans="9:9" s="10" customFormat="1" x14ac:dyDescent="0.35">
      <c r="I1676" s="545"/>
    </row>
    <row r="1677" spans="9:9" s="10" customFormat="1" x14ac:dyDescent="0.35">
      <c r="I1677" s="545"/>
    </row>
    <row r="1678" spans="9:9" s="10" customFormat="1" x14ac:dyDescent="0.35">
      <c r="I1678" s="545"/>
    </row>
    <row r="1679" spans="9:9" s="10" customFormat="1" x14ac:dyDescent="0.35">
      <c r="I1679" s="545"/>
    </row>
    <row r="1680" spans="9:9" s="10" customFormat="1" x14ac:dyDescent="0.35">
      <c r="I1680" s="545"/>
    </row>
    <row r="1681" spans="9:9" s="10" customFormat="1" x14ac:dyDescent="0.35">
      <c r="I1681" s="545"/>
    </row>
    <row r="1682" spans="9:9" s="10" customFormat="1" x14ac:dyDescent="0.35">
      <c r="I1682" s="545"/>
    </row>
    <row r="1683" spans="9:9" s="10" customFormat="1" x14ac:dyDescent="0.35">
      <c r="I1683" s="545"/>
    </row>
    <row r="1684" spans="9:9" s="10" customFormat="1" x14ac:dyDescent="0.35">
      <c r="I1684" s="545"/>
    </row>
    <row r="1685" spans="9:9" s="10" customFormat="1" x14ac:dyDescent="0.35">
      <c r="I1685" s="545"/>
    </row>
    <row r="1686" spans="9:9" s="10" customFormat="1" x14ac:dyDescent="0.35">
      <c r="I1686" s="545"/>
    </row>
    <row r="1687" spans="9:9" s="10" customFormat="1" x14ac:dyDescent="0.35">
      <c r="I1687" s="545"/>
    </row>
    <row r="1688" spans="9:9" s="10" customFormat="1" x14ac:dyDescent="0.35">
      <c r="I1688" s="545"/>
    </row>
    <row r="1689" spans="9:9" s="10" customFormat="1" x14ac:dyDescent="0.35">
      <c r="I1689" s="545"/>
    </row>
    <row r="1690" spans="9:9" s="10" customFormat="1" x14ac:dyDescent="0.35">
      <c r="I1690" s="545"/>
    </row>
    <row r="1691" spans="9:9" s="10" customFormat="1" x14ac:dyDescent="0.35">
      <c r="I1691" s="545"/>
    </row>
    <row r="1692" spans="9:9" s="10" customFormat="1" x14ac:dyDescent="0.35">
      <c r="I1692" s="545"/>
    </row>
    <row r="1693" spans="9:9" s="10" customFormat="1" x14ac:dyDescent="0.35">
      <c r="I1693" s="545"/>
    </row>
    <row r="1694" spans="9:9" s="10" customFormat="1" x14ac:dyDescent="0.35">
      <c r="I1694" s="545"/>
    </row>
    <row r="1695" spans="9:9" s="10" customFormat="1" x14ac:dyDescent="0.35">
      <c r="I1695" s="545"/>
    </row>
    <row r="1696" spans="9:9" s="10" customFormat="1" x14ac:dyDescent="0.35">
      <c r="I1696" s="545"/>
    </row>
    <row r="1697" spans="9:9" s="10" customFormat="1" x14ac:dyDescent="0.35">
      <c r="I1697" s="545"/>
    </row>
    <row r="1698" spans="9:9" s="10" customFormat="1" x14ac:dyDescent="0.35">
      <c r="I1698" s="545"/>
    </row>
    <row r="1699" spans="9:9" s="10" customFormat="1" x14ac:dyDescent="0.35">
      <c r="I1699" s="545"/>
    </row>
    <row r="1700" spans="9:9" s="10" customFormat="1" x14ac:dyDescent="0.35">
      <c r="I1700" s="545"/>
    </row>
    <row r="1701" spans="9:9" s="10" customFormat="1" x14ac:dyDescent="0.35">
      <c r="I1701" s="545"/>
    </row>
    <row r="1702" spans="9:9" s="10" customFormat="1" x14ac:dyDescent="0.35">
      <c r="I1702" s="545"/>
    </row>
    <row r="1703" spans="9:9" s="10" customFormat="1" x14ac:dyDescent="0.35">
      <c r="I1703" s="545"/>
    </row>
    <row r="1704" spans="9:9" s="10" customFormat="1" x14ac:dyDescent="0.35">
      <c r="I1704" s="545"/>
    </row>
    <row r="1705" spans="9:9" s="10" customFormat="1" x14ac:dyDescent="0.35">
      <c r="I1705" s="545"/>
    </row>
    <row r="1706" spans="9:9" s="10" customFormat="1" x14ac:dyDescent="0.35">
      <c r="I1706" s="545"/>
    </row>
    <row r="1707" spans="9:9" s="10" customFormat="1" x14ac:dyDescent="0.35">
      <c r="I1707" s="545"/>
    </row>
    <row r="1708" spans="9:9" s="10" customFormat="1" x14ac:dyDescent="0.35">
      <c r="I1708" s="545"/>
    </row>
    <row r="1709" spans="9:9" s="10" customFormat="1" x14ac:dyDescent="0.35">
      <c r="I1709" s="545"/>
    </row>
    <row r="1710" spans="9:9" s="10" customFormat="1" x14ac:dyDescent="0.35">
      <c r="I1710" s="545"/>
    </row>
    <row r="1711" spans="9:9" s="10" customFormat="1" x14ac:dyDescent="0.35">
      <c r="I1711" s="545"/>
    </row>
    <row r="1712" spans="9:9" s="10" customFormat="1" x14ac:dyDescent="0.35">
      <c r="I1712" s="545"/>
    </row>
    <row r="1713" spans="9:9" s="10" customFormat="1" x14ac:dyDescent="0.35">
      <c r="I1713" s="545"/>
    </row>
    <row r="1714" spans="9:9" s="10" customFormat="1" x14ac:dyDescent="0.35">
      <c r="I1714" s="545"/>
    </row>
    <row r="1715" spans="9:9" s="10" customFormat="1" x14ac:dyDescent="0.35">
      <c r="I1715" s="545"/>
    </row>
    <row r="1716" spans="9:9" s="10" customFormat="1" x14ac:dyDescent="0.35">
      <c r="I1716" s="545"/>
    </row>
    <row r="1717" spans="9:9" s="10" customFormat="1" x14ac:dyDescent="0.35">
      <c r="I1717" s="545"/>
    </row>
    <row r="1718" spans="9:9" s="10" customFormat="1" x14ac:dyDescent="0.35">
      <c r="I1718" s="545"/>
    </row>
    <row r="1719" spans="9:9" s="10" customFormat="1" x14ac:dyDescent="0.35">
      <c r="I1719" s="545"/>
    </row>
    <row r="1720" spans="9:9" s="10" customFormat="1" x14ac:dyDescent="0.35">
      <c r="I1720" s="545"/>
    </row>
    <row r="1721" spans="9:9" s="10" customFormat="1" x14ac:dyDescent="0.35">
      <c r="I1721" s="545"/>
    </row>
    <row r="1722" spans="9:9" s="10" customFormat="1" x14ac:dyDescent="0.35">
      <c r="I1722" s="545"/>
    </row>
    <row r="1723" spans="9:9" s="10" customFormat="1" x14ac:dyDescent="0.35">
      <c r="I1723" s="545"/>
    </row>
    <row r="1724" spans="9:9" s="10" customFormat="1" x14ac:dyDescent="0.35">
      <c r="I1724" s="545"/>
    </row>
    <row r="1725" spans="9:9" s="10" customFormat="1" x14ac:dyDescent="0.35">
      <c r="I1725" s="545"/>
    </row>
    <row r="1726" spans="9:9" s="10" customFormat="1" x14ac:dyDescent="0.35">
      <c r="I1726" s="545"/>
    </row>
    <row r="1727" spans="9:9" s="10" customFormat="1" x14ac:dyDescent="0.35">
      <c r="I1727" s="545"/>
    </row>
    <row r="1728" spans="9:9" s="10" customFormat="1" x14ac:dyDescent="0.35">
      <c r="I1728" s="545"/>
    </row>
    <row r="1729" spans="9:9" s="10" customFormat="1" x14ac:dyDescent="0.35">
      <c r="I1729" s="545"/>
    </row>
    <row r="1730" spans="9:9" s="10" customFormat="1" x14ac:dyDescent="0.35">
      <c r="I1730" s="545"/>
    </row>
    <row r="1731" spans="9:9" s="10" customFormat="1" x14ac:dyDescent="0.35">
      <c r="I1731" s="545"/>
    </row>
    <row r="1732" spans="9:9" s="10" customFormat="1" x14ac:dyDescent="0.35">
      <c r="I1732" s="545"/>
    </row>
    <row r="1733" spans="9:9" s="10" customFormat="1" x14ac:dyDescent="0.35">
      <c r="I1733" s="545"/>
    </row>
    <row r="1734" spans="9:9" s="10" customFormat="1" x14ac:dyDescent="0.35">
      <c r="I1734" s="545"/>
    </row>
    <row r="1735" spans="9:9" s="10" customFormat="1" x14ac:dyDescent="0.35">
      <c r="I1735" s="545"/>
    </row>
    <row r="1736" spans="9:9" s="10" customFormat="1" x14ac:dyDescent="0.35">
      <c r="I1736" s="545"/>
    </row>
    <row r="1737" spans="9:9" s="10" customFormat="1" x14ac:dyDescent="0.35">
      <c r="I1737" s="545"/>
    </row>
    <row r="1738" spans="9:9" s="10" customFormat="1" x14ac:dyDescent="0.35">
      <c r="I1738" s="545"/>
    </row>
    <row r="1739" spans="9:9" s="10" customFormat="1" x14ac:dyDescent="0.35">
      <c r="I1739" s="545"/>
    </row>
    <row r="1740" spans="9:9" s="10" customFormat="1" x14ac:dyDescent="0.35">
      <c r="I1740" s="545"/>
    </row>
    <row r="1741" spans="9:9" s="10" customFormat="1" x14ac:dyDescent="0.35">
      <c r="I1741" s="545"/>
    </row>
    <row r="1742" spans="9:9" s="10" customFormat="1" x14ac:dyDescent="0.35">
      <c r="I1742" s="545"/>
    </row>
    <row r="1743" spans="9:9" s="10" customFormat="1" x14ac:dyDescent="0.35">
      <c r="I1743" s="545"/>
    </row>
    <row r="1744" spans="9:9" s="10" customFormat="1" x14ac:dyDescent="0.35">
      <c r="I1744" s="545"/>
    </row>
    <row r="1745" spans="9:9" s="10" customFormat="1" x14ac:dyDescent="0.35">
      <c r="I1745" s="545"/>
    </row>
    <row r="1746" spans="9:9" s="10" customFormat="1" x14ac:dyDescent="0.35">
      <c r="I1746" s="545"/>
    </row>
    <row r="1747" spans="9:9" s="10" customFormat="1" x14ac:dyDescent="0.35">
      <c r="I1747" s="545"/>
    </row>
    <row r="1748" spans="9:9" s="10" customFormat="1" x14ac:dyDescent="0.35">
      <c r="I1748" s="545"/>
    </row>
    <row r="1749" spans="9:9" s="10" customFormat="1" x14ac:dyDescent="0.35">
      <c r="I1749" s="545"/>
    </row>
    <row r="1750" spans="9:9" s="10" customFormat="1" x14ac:dyDescent="0.35">
      <c r="I1750" s="545"/>
    </row>
    <row r="1751" spans="9:9" s="10" customFormat="1" x14ac:dyDescent="0.35">
      <c r="I1751" s="545"/>
    </row>
    <row r="1752" spans="9:9" s="10" customFormat="1" x14ac:dyDescent="0.35">
      <c r="I1752" s="545"/>
    </row>
    <row r="1753" spans="9:9" s="10" customFormat="1" x14ac:dyDescent="0.35">
      <c r="I1753" s="545"/>
    </row>
    <row r="1754" spans="9:9" s="10" customFormat="1" x14ac:dyDescent="0.35">
      <c r="I1754" s="545"/>
    </row>
    <row r="1755" spans="9:9" s="10" customFormat="1" x14ac:dyDescent="0.35">
      <c r="I1755" s="545"/>
    </row>
    <row r="1756" spans="9:9" s="10" customFormat="1" x14ac:dyDescent="0.35">
      <c r="I1756" s="545"/>
    </row>
    <row r="1757" spans="9:9" s="10" customFormat="1" x14ac:dyDescent="0.35">
      <c r="I1757" s="545"/>
    </row>
    <row r="1758" spans="9:9" s="10" customFormat="1" x14ac:dyDescent="0.35">
      <c r="I1758" s="545"/>
    </row>
    <row r="1759" spans="9:9" s="10" customFormat="1" x14ac:dyDescent="0.35">
      <c r="I1759" s="545"/>
    </row>
    <row r="1760" spans="9:9" s="10" customFormat="1" x14ac:dyDescent="0.35">
      <c r="I1760" s="545"/>
    </row>
    <row r="1761" spans="9:9" s="10" customFormat="1" x14ac:dyDescent="0.35">
      <c r="I1761" s="545"/>
    </row>
    <row r="1762" spans="9:9" s="10" customFormat="1" x14ac:dyDescent="0.35">
      <c r="I1762" s="545"/>
    </row>
    <row r="1763" spans="9:9" s="10" customFormat="1" x14ac:dyDescent="0.35">
      <c r="I1763" s="545"/>
    </row>
    <row r="1764" spans="9:9" s="10" customFormat="1" x14ac:dyDescent="0.35">
      <c r="I1764" s="545"/>
    </row>
    <row r="1765" spans="9:9" s="10" customFormat="1" x14ac:dyDescent="0.35">
      <c r="I1765" s="545"/>
    </row>
    <row r="1766" spans="9:9" s="10" customFormat="1" x14ac:dyDescent="0.35">
      <c r="I1766" s="545"/>
    </row>
    <row r="1767" spans="9:9" s="10" customFormat="1" x14ac:dyDescent="0.35">
      <c r="I1767" s="545"/>
    </row>
    <row r="1768" spans="9:9" s="10" customFormat="1" x14ac:dyDescent="0.35">
      <c r="I1768" s="545"/>
    </row>
    <row r="1769" spans="9:9" s="10" customFormat="1" x14ac:dyDescent="0.35">
      <c r="I1769" s="545"/>
    </row>
    <row r="1770" spans="9:9" s="10" customFormat="1" x14ac:dyDescent="0.35">
      <c r="I1770" s="545"/>
    </row>
    <row r="1771" spans="9:9" s="10" customFormat="1" x14ac:dyDescent="0.35">
      <c r="I1771" s="545"/>
    </row>
    <row r="1772" spans="9:9" s="10" customFormat="1" x14ac:dyDescent="0.35">
      <c r="I1772" s="545"/>
    </row>
    <row r="1773" spans="9:9" s="10" customFormat="1" x14ac:dyDescent="0.35">
      <c r="I1773" s="545"/>
    </row>
    <row r="1774" spans="9:9" s="10" customFormat="1" x14ac:dyDescent="0.35">
      <c r="I1774" s="545"/>
    </row>
    <row r="1775" spans="9:9" s="10" customFormat="1" x14ac:dyDescent="0.35">
      <c r="I1775" s="545"/>
    </row>
    <row r="1776" spans="9:9" s="10" customFormat="1" x14ac:dyDescent="0.35">
      <c r="I1776" s="545"/>
    </row>
    <row r="1777" spans="9:9" s="10" customFormat="1" x14ac:dyDescent="0.35">
      <c r="I1777" s="545"/>
    </row>
    <row r="1778" spans="9:9" s="10" customFormat="1" x14ac:dyDescent="0.35">
      <c r="I1778" s="545"/>
    </row>
    <row r="1779" spans="9:9" s="10" customFormat="1" x14ac:dyDescent="0.35">
      <c r="I1779" s="545"/>
    </row>
    <row r="1780" spans="9:9" s="10" customFormat="1" x14ac:dyDescent="0.35">
      <c r="I1780" s="545"/>
    </row>
    <row r="1781" spans="9:9" s="10" customFormat="1" x14ac:dyDescent="0.35">
      <c r="I1781" s="545"/>
    </row>
    <row r="1782" spans="9:9" s="10" customFormat="1" x14ac:dyDescent="0.35">
      <c r="I1782" s="545"/>
    </row>
    <row r="1783" spans="9:9" s="10" customFormat="1" x14ac:dyDescent="0.35">
      <c r="I1783" s="545"/>
    </row>
    <row r="1784" spans="9:9" s="10" customFormat="1" x14ac:dyDescent="0.35">
      <c r="I1784" s="545"/>
    </row>
    <row r="1785" spans="9:9" s="10" customFormat="1" x14ac:dyDescent="0.35">
      <c r="I1785" s="545"/>
    </row>
    <row r="1786" spans="9:9" s="10" customFormat="1" x14ac:dyDescent="0.35">
      <c r="I1786" s="545"/>
    </row>
    <row r="1787" spans="9:9" s="10" customFormat="1" x14ac:dyDescent="0.35">
      <c r="I1787" s="545"/>
    </row>
    <row r="1788" spans="9:9" s="10" customFormat="1" x14ac:dyDescent="0.35">
      <c r="I1788" s="545"/>
    </row>
    <row r="1789" spans="9:9" s="10" customFormat="1" x14ac:dyDescent="0.35">
      <c r="I1789" s="545"/>
    </row>
    <row r="1790" spans="9:9" s="10" customFormat="1" x14ac:dyDescent="0.35">
      <c r="I1790" s="545"/>
    </row>
    <row r="1791" spans="9:9" s="10" customFormat="1" x14ac:dyDescent="0.35">
      <c r="I1791" s="545"/>
    </row>
    <row r="1792" spans="9:9" s="10" customFormat="1" x14ac:dyDescent="0.35">
      <c r="I1792" s="545"/>
    </row>
    <row r="1793" spans="9:9" s="10" customFormat="1" x14ac:dyDescent="0.35">
      <c r="I1793" s="545"/>
    </row>
    <row r="1794" spans="9:9" s="10" customFormat="1" x14ac:dyDescent="0.35">
      <c r="I1794" s="545"/>
    </row>
    <row r="1795" spans="9:9" s="10" customFormat="1" x14ac:dyDescent="0.35">
      <c r="I1795" s="545"/>
    </row>
    <row r="1796" spans="9:9" s="10" customFormat="1" x14ac:dyDescent="0.35">
      <c r="I1796" s="545"/>
    </row>
    <row r="1797" spans="9:9" s="10" customFormat="1" x14ac:dyDescent="0.35">
      <c r="I1797" s="545"/>
    </row>
    <row r="1798" spans="9:9" s="10" customFormat="1" x14ac:dyDescent="0.35">
      <c r="I1798" s="545"/>
    </row>
    <row r="1799" spans="9:9" s="10" customFormat="1" x14ac:dyDescent="0.35">
      <c r="I1799" s="545"/>
    </row>
    <row r="1800" spans="9:9" s="10" customFormat="1" x14ac:dyDescent="0.35">
      <c r="I1800" s="545"/>
    </row>
    <row r="1801" spans="9:9" s="10" customFormat="1" x14ac:dyDescent="0.35">
      <c r="I1801" s="545"/>
    </row>
    <row r="1802" spans="9:9" s="10" customFormat="1" x14ac:dyDescent="0.35">
      <c r="I1802" s="545"/>
    </row>
    <row r="1803" spans="9:9" s="10" customFormat="1" x14ac:dyDescent="0.35">
      <c r="I1803" s="545"/>
    </row>
    <row r="1804" spans="9:9" s="10" customFormat="1" x14ac:dyDescent="0.35">
      <c r="I1804" s="545"/>
    </row>
    <row r="1805" spans="9:9" s="10" customFormat="1" x14ac:dyDescent="0.35">
      <c r="I1805" s="545"/>
    </row>
    <row r="1806" spans="9:9" s="10" customFormat="1" x14ac:dyDescent="0.35">
      <c r="I1806" s="545"/>
    </row>
    <row r="1807" spans="9:9" s="10" customFormat="1" x14ac:dyDescent="0.35">
      <c r="I1807" s="545"/>
    </row>
    <row r="1808" spans="9:9" s="10" customFormat="1" x14ac:dyDescent="0.35">
      <c r="I1808" s="545"/>
    </row>
    <row r="1809" spans="9:9" s="10" customFormat="1" x14ac:dyDescent="0.35">
      <c r="I1809" s="545"/>
    </row>
    <row r="1810" spans="9:9" s="10" customFormat="1" x14ac:dyDescent="0.35">
      <c r="I1810" s="545"/>
    </row>
    <row r="1811" spans="9:9" s="10" customFormat="1" x14ac:dyDescent="0.35">
      <c r="I1811" s="545"/>
    </row>
    <row r="1812" spans="9:9" s="10" customFormat="1" x14ac:dyDescent="0.35">
      <c r="I1812" s="545"/>
    </row>
    <row r="1813" spans="9:9" s="10" customFormat="1" x14ac:dyDescent="0.35">
      <c r="I1813" s="545"/>
    </row>
    <row r="1814" spans="9:9" s="10" customFormat="1" x14ac:dyDescent="0.35">
      <c r="I1814" s="545"/>
    </row>
    <row r="1815" spans="9:9" s="10" customFormat="1" x14ac:dyDescent="0.35">
      <c r="I1815" s="545"/>
    </row>
    <row r="1816" spans="9:9" s="10" customFormat="1" x14ac:dyDescent="0.35">
      <c r="I1816" s="545"/>
    </row>
    <row r="1817" spans="9:9" s="10" customFormat="1" x14ac:dyDescent="0.35">
      <c r="I1817" s="545"/>
    </row>
    <row r="1818" spans="9:9" s="10" customFormat="1" x14ac:dyDescent="0.35">
      <c r="I1818" s="545"/>
    </row>
    <row r="1819" spans="9:9" s="10" customFormat="1" x14ac:dyDescent="0.35">
      <c r="I1819" s="545"/>
    </row>
    <row r="1820" spans="9:9" s="10" customFormat="1" x14ac:dyDescent="0.35">
      <c r="I1820" s="545"/>
    </row>
    <row r="1821" spans="9:9" s="10" customFormat="1" x14ac:dyDescent="0.35">
      <c r="I1821" s="545"/>
    </row>
    <row r="1822" spans="9:9" s="10" customFormat="1" x14ac:dyDescent="0.35">
      <c r="I1822" s="545"/>
    </row>
    <row r="1823" spans="9:9" s="10" customFormat="1" x14ac:dyDescent="0.35">
      <c r="I1823" s="545"/>
    </row>
    <row r="1824" spans="9:9" s="10" customFormat="1" x14ac:dyDescent="0.35">
      <c r="I1824" s="545"/>
    </row>
    <row r="1825" spans="9:9" s="10" customFormat="1" x14ac:dyDescent="0.35">
      <c r="I1825" s="545"/>
    </row>
    <row r="1826" spans="9:9" s="10" customFormat="1" x14ac:dyDescent="0.35">
      <c r="I1826" s="545"/>
    </row>
    <row r="1827" spans="9:9" s="10" customFormat="1" x14ac:dyDescent="0.35">
      <c r="I1827" s="545"/>
    </row>
    <row r="1828" spans="9:9" s="10" customFormat="1" x14ac:dyDescent="0.35">
      <c r="I1828" s="545"/>
    </row>
    <row r="1829" spans="9:9" s="10" customFormat="1" x14ac:dyDescent="0.35">
      <c r="I1829" s="545"/>
    </row>
    <row r="1830" spans="9:9" s="10" customFormat="1" x14ac:dyDescent="0.35">
      <c r="I1830" s="545"/>
    </row>
    <row r="1831" spans="9:9" s="10" customFormat="1" x14ac:dyDescent="0.35">
      <c r="I1831" s="545"/>
    </row>
    <row r="1832" spans="9:9" s="10" customFormat="1" x14ac:dyDescent="0.35">
      <c r="I1832" s="545"/>
    </row>
    <row r="1833" spans="9:9" s="10" customFormat="1" x14ac:dyDescent="0.35">
      <c r="I1833" s="545"/>
    </row>
    <row r="1834" spans="9:9" s="10" customFormat="1" x14ac:dyDescent="0.35">
      <c r="I1834" s="545"/>
    </row>
    <row r="1835" spans="9:9" s="10" customFormat="1" x14ac:dyDescent="0.35">
      <c r="I1835" s="545"/>
    </row>
    <row r="1836" spans="9:9" s="10" customFormat="1" x14ac:dyDescent="0.35">
      <c r="I1836" s="545"/>
    </row>
    <row r="1837" spans="9:9" s="10" customFormat="1" x14ac:dyDescent="0.35">
      <c r="I1837" s="545"/>
    </row>
    <row r="1838" spans="9:9" s="10" customFormat="1" x14ac:dyDescent="0.35">
      <c r="I1838" s="545"/>
    </row>
    <row r="1839" spans="9:9" s="10" customFormat="1" x14ac:dyDescent="0.35">
      <c r="I1839" s="545"/>
    </row>
    <row r="1840" spans="9:9" s="10" customFormat="1" x14ac:dyDescent="0.35">
      <c r="I1840" s="545"/>
    </row>
    <row r="1841" spans="9:9" s="10" customFormat="1" x14ac:dyDescent="0.35">
      <c r="I1841" s="545"/>
    </row>
    <row r="1842" spans="9:9" s="10" customFormat="1" x14ac:dyDescent="0.35">
      <c r="I1842" s="545"/>
    </row>
    <row r="1843" spans="9:9" s="10" customFormat="1" x14ac:dyDescent="0.35">
      <c r="I1843" s="545"/>
    </row>
    <row r="1844" spans="9:9" s="10" customFormat="1" x14ac:dyDescent="0.35">
      <c r="I1844" s="545"/>
    </row>
    <row r="1845" spans="9:9" s="10" customFormat="1" x14ac:dyDescent="0.35">
      <c r="I1845" s="545"/>
    </row>
    <row r="1846" spans="9:9" s="10" customFormat="1" x14ac:dyDescent="0.35">
      <c r="I1846" s="545"/>
    </row>
    <row r="1847" spans="9:9" s="10" customFormat="1" x14ac:dyDescent="0.35">
      <c r="I1847" s="545"/>
    </row>
    <row r="1848" spans="9:9" s="10" customFormat="1" x14ac:dyDescent="0.35">
      <c r="I1848" s="545"/>
    </row>
    <row r="1849" spans="9:9" s="10" customFormat="1" x14ac:dyDescent="0.35">
      <c r="I1849" s="545"/>
    </row>
    <row r="1850" spans="9:9" s="10" customFormat="1" x14ac:dyDescent="0.35">
      <c r="I1850" s="545"/>
    </row>
    <row r="1851" spans="9:9" s="10" customFormat="1" x14ac:dyDescent="0.35">
      <c r="I1851" s="545"/>
    </row>
    <row r="1852" spans="9:9" s="10" customFormat="1" x14ac:dyDescent="0.35">
      <c r="I1852" s="545"/>
    </row>
    <row r="1853" spans="9:9" s="10" customFormat="1" x14ac:dyDescent="0.35">
      <c r="I1853" s="545"/>
    </row>
    <row r="1854" spans="9:9" s="10" customFormat="1" x14ac:dyDescent="0.35">
      <c r="I1854" s="545"/>
    </row>
    <row r="1855" spans="9:9" s="10" customFormat="1" x14ac:dyDescent="0.35">
      <c r="I1855" s="545"/>
    </row>
    <row r="1856" spans="9:9" s="10" customFormat="1" x14ac:dyDescent="0.35">
      <c r="I1856" s="545"/>
    </row>
    <row r="1857" spans="9:9" s="10" customFormat="1" x14ac:dyDescent="0.35">
      <c r="I1857" s="545"/>
    </row>
    <row r="1858" spans="9:9" s="10" customFormat="1" x14ac:dyDescent="0.35">
      <c r="I1858" s="545"/>
    </row>
    <row r="1859" spans="9:9" s="10" customFormat="1" x14ac:dyDescent="0.35">
      <c r="I1859" s="545"/>
    </row>
    <row r="1860" spans="9:9" s="10" customFormat="1" x14ac:dyDescent="0.35">
      <c r="I1860" s="545"/>
    </row>
    <row r="1861" spans="9:9" s="10" customFormat="1" x14ac:dyDescent="0.35">
      <c r="I1861" s="545"/>
    </row>
    <row r="1862" spans="9:9" s="10" customFormat="1" x14ac:dyDescent="0.35">
      <c r="I1862" s="545"/>
    </row>
    <row r="1863" spans="9:9" s="10" customFormat="1" x14ac:dyDescent="0.35">
      <c r="I1863" s="545"/>
    </row>
    <row r="1864" spans="9:9" s="10" customFormat="1" x14ac:dyDescent="0.35">
      <c r="I1864" s="545"/>
    </row>
    <row r="1865" spans="9:9" s="10" customFormat="1" x14ac:dyDescent="0.35">
      <c r="I1865" s="545"/>
    </row>
    <row r="1866" spans="9:9" s="10" customFormat="1" x14ac:dyDescent="0.35">
      <c r="I1866" s="545"/>
    </row>
    <row r="1867" spans="9:9" s="10" customFormat="1" x14ac:dyDescent="0.35">
      <c r="I1867" s="545"/>
    </row>
    <row r="1868" spans="9:9" s="10" customFormat="1" x14ac:dyDescent="0.35">
      <c r="I1868" s="545"/>
    </row>
    <row r="1869" spans="9:9" s="10" customFormat="1" x14ac:dyDescent="0.35">
      <c r="I1869" s="545"/>
    </row>
    <row r="1870" spans="9:9" s="10" customFormat="1" x14ac:dyDescent="0.35">
      <c r="I1870" s="545"/>
    </row>
    <row r="1871" spans="9:9" s="10" customFormat="1" x14ac:dyDescent="0.35">
      <c r="I1871" s="545"/>
    </row>
    <row r="1872" spans="9:9" s="10" customFormat="1" x14ac:dyDescent="0.35">
      <c r="I1872" s="545"/>
    </row>
    <row r="1873" spans="9:9" s="10" customFormat="1" x14ac:dyDescent="0.35">
      <c r="I1873" s="545"/>
    </row>
    <row r="1874" spans="9:9" s="10" customFormat="1" x14ac:dyDescent="0.35">
      <c r="I1874" s="545"/>
    </row>
    <row r="1875" spans="9:9" s="10" customFormat="1" x14ac:dyDescent="0.35">
      <c r="I1875" s="545"/>
    </row>
    <row r="1876" spans="9:9" s="10" customFormat="1" x14ac:dyDescent="0.35">
      <c r="I1876" s="545"/>
    </row>
    <row r="1877" spans="9:9" s="10" customFormat="1" x14ac:dyDescent="0.35">
      <c r="I1877" s="545"/>
    </row>
    <row r="1878" spans="9:9" s="10" customFormat="1" x14ac:dyDescent="0.35">
      <c r="I1878" s="545"/>
    </row>
    <row r="1879" spans="9:9" s="10" customFormat="1" x14ac:dyDescent="0.35">
      <c r="I1879" s="545"/>
    </row>
    <row r="1880" spans="9:9" s="10" customFormat="1" x14ac:dyDescent="0.35">
      <c r="I1880" s="545"/>
    </row>
    <row r="1881" spans="9:9" s="10" customFormat="1" x14ac:dyDescent="0.35">
      <c r="I1881" s="545"/>
    </row>
    <row r="1882" spans="9:9" s="10" customFormat="1" x14ac:dyDescent="0.35">
      <c r="I1882" s="545"/>
    </row>
    <row r="1883" spans="9:9" s="10" customFormat="1" x14ac:dyDescent="0.35">
      <c r="I1883" s="545"/>
    </row>
    <row r="1884" spans="9:9" s="10" customFormat="1" x14ac:dyDescent="0.35">
      <c r="I1884" s="545"/>
    </row>
    <row r="1885" spans="9:9" s="10" customFormat="1" x14ac:dyDescent="0.35">
      <c r="I1885" s="545"/>
    </row>
    <row r="1886" spans="9:9" s="10" customFormat="1" x14ac:dyDescent="0.35">
      <c r="I1886" s="545"/>
    </row>
    <row r="1887" spans="9:9" s="10" customFormat="1" x14ac:dyDescent="0.35">
      <c r="I1887" s="545"/>
    </row>
    <row r="1888" spans="9:9" s="10" customFormat="1" x14ac:dyDescent="0.35">
      <c r="I1888" s="545"/>
    </row>
    <row r="1889" spans="9:9" s="10" customFormat="1" x14ac:dyDescent="0.35">
      <c r="I1889" s="545"/>
    </row>
    <row r="1890" spans="9:9" s="10" customFormat="1" x14ac:dyDescent="0.35">
      <c r="I1890" s="545"/>
    </row>
    <row r="1891" spans="9:9" s="10" customFormat="1" x14ac:dyDescent="0.35">
      <c r="I1891" s="545"/>
    </row>
    <row r="1892" spans="9:9" s="10" customFormat="1" x14ac:dyDescent="0.35">
      <c r="I1892" s="545"/>
    </row>
    <row r="1893" spans="9:9" s="10" customFormat="1" x14ac:dyDescent="0.35">
      <c r="I1893" s="545"/>
    </row>
    <row r="1894" spans="9:9" s="10" customFormat="1" x14ac:dyDescent="0.35">
      <c r="I1894" s="545"/>
    </row>
    <row r="1895" spans="9:9" s="10" customFormat="1" x14ac:dyDescent="0.35">
      <c r="I1895" s="545"/>
    </row>
    <row r="1896" spans="9:9" s="10" customFormat="1" x14ac:dyDescent="0.35">
      <c r="I1896" s="545"/>
    </row>
    <row r="1897" spans="9:9" s="10" customFormat="1" x14ac:dyDescent="0.35">
      <c r="I1897" s="545"/>
    </row>
    <row r="1898" spans="9:9" s="10" customFormat="1" x14ac:dyDescent="0.35">
      <c r="I1898" s="545"/>
    </row>
    <row r="1899" spans="9:9" s="10" customFormat="1" x14ac:dyDescent="0.35">
      <c r="I1899" s="545"/>
    </row>
    <row r="1900" spans="9:9" s="10" customFormat="1" x14ac:dyDescent="0.35">
      <c r="I1900" s="545"/>
    </row>
    <row r="1901" spans="9:9" s="10" customFormat="1" x14ac:dyDescent="0.35">
      <c r="I1901" s="545"/>
    </row>
    <row r="1902" spans="9:9" s="10" customFormat="1" x14ac:dyDescent="0.35">
      <c r="I1902" s="545"/>
    </row>
    <row r="1903" spans="9:9" s="10" customFormat="1" x14ac:dyDescent="0.35">
      <c r="I1903" s="545"/>
    </row>
    <row r="1904" spans="9:9" s="10" customFormat="1" x14ac:dyDescent="0.35">
      <c r="I1904" s="545"/>
    </row>
    <row r="1905" spans="9:9" s="10" customFormat="1" x14ac:dyDescent="0.35">
      <c r="I1905" s="545"/>
    </row>
    <row r="1906" spans="9:9" s="10" customFormat="1" x14ac:dyDescent="0.35">
      <c r="I1906" s="545"/>
    </row>
    <row r="1907" spans="9:9" s="10" customFormat="1" x14ac:dyDescent="0.35">
      <c r="I1907" s="545"/>
    </row>
    <row r="1908" spans="9:9" s="10" customFormat="1" x14ac:dyDescent="0.35">
      <c r="I1908" s="545"/>
    </row>
    <row r="1909" spans="9:9" s="10" customFormat="1" x14ac:dyDescent="0.35">
      <c r="I1909" s="545"/>
    </row>
    <row r="1910" spans="9:9" s="10" customFormat="1" x14ac:dyDescent="0.35">
      <c r="I1910" s="545"/>
    </row>
    <row r="1911" spans="9:9" s="10" customFormat="1" x14ac:dyDescent="0.35">
      <c r="I1911" s="545"/>
    </row>
    <row r="1912" spans="9:9" s="10" customFormat="1" x14ac:dyDescent="0.35">
      <c r="I1912" s="545"/>
    </row>
    <row r="1913" spans="9:9" s="10" customFormat="1" x14ac:dyDescent="0.35">
      <c r="I1913" s="545"/>
    </row>
    <row r="1914" spans="9:9" s="10" customFormat="1" x14ac:dyDescent="0.35">
      <c r="I1914" s="545"/>
    </row>
    <row r="1915" spans="9:9" s="10" customFormat="1" x14ac:dyDescent="0.35">
      <c r="I1915" s="545"/>
    </row>
    <row r="1916" spans="9:9" s="10" customFormat="1" x14ac:dyDescent="0.35">
      <c r="I1916" s="545"/>
    </row>
    <row r="1917" spans="9:9" s="10" customFormat="1" x14ac:dyDescent="0.35">
      <c r="I1917" s="545"/>
    </row>
    <row r="1918" spans="9:9" s="10" customFormat="1" x14ac:dyDescent="0.35">
      <c r="I1918" s="545"/>
    </row>
    <row r="1919" spans="9:9" s="10" customFormat="1" x14ac:dyDescent="0.35">
      <c r="I1919" s="545"/>
    </row>
    <row r="1920" spans="9:9" s="10" customFormat="1" x14ac:dyDescent="0.35">
      <c r="I1920" s="545"/>
    </row>
    <row r="1921" spans="9:9" s="10" customFormat="1" x14ac:dyDescent="0.35">
      <c r="I1921" s="545"/>
    </row>
    <row r="1922" spans="9:9" s="10" customFormat="1" x14ac:dyDescent="0.35">
      <c r="I1922" s="545"/>
    </row>
    <row r="1923" spans="9:9" s="10" customFormat="1" x14ac:dyDescent="0.35">
      <c r="I1923" s="545"/>
    </row>
    <row r="1924" spans="9:9" s="10" customFormat="1" x14ac:dyDescent="0.35">
      <c r="I1924" s="545"/>
    </row>
    <row r="1925" spans="9:9" s="10" customFormat="1" x14ac:dyDescent="0.35">
      <c r="I1925" s="545"/>
    </row>
    <row r="1926" spans="9:9" s="10" customFormat="1" x14ac:dyDescent="0.35">
      <c r="I1926" s="545"/>
    </row>
    <row r="1927" spans="9:9" s="10" customFormat="1" x14ac:dyDescent="0.35">
      <c r="I1927" s="545"/>
    </row>
    <row r="1928" spans="9:9" s="10" customFormat="1" x14ac:dyDescent="0.35">
      <c r="I1928" s="545"/>
    </row>
    <row r="1929" spans="9:9" s="10" customFormat="1" x14ac:dyDescent="0.35">
      <c r="I1929" s="545"/>
    </row>
    <row r="1930" spans="9:9" s="10" customFormat="1" x14ac:dyDescent="0.35">
      <c r="I1930" s="545"/>
    </row>
    <row r="1931" spans="9:9" s="10" customFormat="1" x14ac:dyDescent="0.35">
      <c r="I1931" s="545"/>
    </row>
    <row r="1932" spans="9:9" s="10" customFormat="1" x14ac:dyDescent="0.35">
      <c r="I1932" s="545"/>
    </row>
    <row r="1933" spans="9:9" s="10" customFormat="1" x14ac:dyDescent="0.35">
      <c r="I1933" s="545"/>
    </row>
    <row r="1934" spans="9:9" s="10" customFormat="1" x14ac:dyDescent="0.35">
      <c r="I1934" s="545"/>
    </row>
    <row r="1935" spans="9:9" s="10" customFormat="1" x14ac:dyDescent="0.35">
      <c r="I1935" s="545"/>
    </row>
    <row r="1936" spans="9:9" s="10" customFormat="1" x14ac:dyDescent="0.35">
      <c r="I1936" s="545"/>
    </row>
    <row r="1937" spans="9:9" s="10" customFormat="1" x14ac:dyDescent="0.35">
      <c r="I1937" s="545"/>
    </row>
    <row r="1938" spans="9:9" s="10" customFormat="1" x14ac:dyDescent="0.35">
      <c r="I1938" s="545"/>
    </row>
    <row r="1939" spans="9:9" s="10" customFormat="1" x14ac:dyDescent="0.35">
      <c r="I1939" s="545"/>
    </row>
    <row r="1940" spans="9:9" s="10" customFormat="1" x14ac:dyDescent="0.35">
      <c r="I1940" s="545"/>
    </row>
    <row r="1941" spans="9:9" s="10" customFormat="1" x14ac:dyDescent="0.35">
      <c r="I1941" s="545"/>
    </row>
    <row r="1942" spans="9:9" s="10" customFormat="1" x14ac:dyDescent="0.35">
      <c r="I1942" s="545"/>
    </row>
    <row r="1943" spans="9:9" s="10" customFormat="1" x14ac:dyDescent="0.35">
      <c r="I1943" s="545"/>
    </row>
    <row r="1944" spans="9:9" s="10" customFormat="1" x14ac:dyDescent="0.35">
      <c r="I1944" s="545"/>
    </row>
    <row r="1945" spans="9:9" s="10" customFormat="1" x14ac:dyDescent="0.35">
      <c r="I1945" s="545"/>
    </row>
    <row r="1946" spans="9:9" s="10" customFormat="1" x14ac:dyDescent="0.35">
      <c r="I1946" s="545"/>
    </row>
    <row r="1947" spans="9:9" s="10" customFormat="1" x14ac:dyDescent="0.35">
      <c r="I1947" s="545"/>
    </row>
    <row r="1948" spans="9:9" s="10" customFormat="1" x14ac:dyDescent="0.35">
      <c r="I1948" s="545"/>
    </row>
    <row r="1949" spans="9:9" s="10" customFormat="1" x14ac:dyDescent="0.35">
      <c r="I1949" s="545"/>
    </row>
    <row r="1950" spans="9:9" s="10" customFormat="1" x14ac:dyDescent="0.35">
      <c r="I1950" s="545"/>
    </row>
    <row r="1951" spans="9:9" s="10" customFormat="1" x14ac:dyDescent="0.35">
      <c r="I1951" s="545"/>
    </row>
    <row r="1952" spans="9:9" s="10" customFormat="1" x14ac:dyDescent="0.35">
      <c r="I1952" s="545"/>
    </row>
    <row r="1953" spans="9:9" s="10" customFormat="1" x14ac:dyDescent="0.35">
      <c r="I1953" s="545"/>
    </row>
    <row r="1954" spans="9:9" s="10" customFormat="1" x14ac:dyDescent="0.35">
      <c r="I1954" s="545"/>
    </row>
    <row r="1955" spans="9:9" s="10" customFormat="1" x14ac:dyDescent="0.35">
      <c r="I1955" s="545"/>
    </row>
    <row r="1956" spans="9:9" s="10" customFormat="1" x14ac:dyDescent="0.35">
      <c r="I1956" s="545"/>
    </row>
    <row r="1957" spans="9:9" s="10" customFormat="1" x14ac:dyDescent="0.35">
      <c r="I1957" s="545"/>
    </row>
    <row r="1958" spans="9:9" s="10" customFormat="1" x14ac:dyDescent="0.35">
      <c r="I1958" s="545"/>
    </row>
    <row r="1959" spans="9:9" s="10" customFormat="1" x14ac:dyDescent="0.35">
      <c r="I1959" s="545"/>
    </row>
    <row r="1960" spans="9:9" s="10" customFormat="1" x14ac:dyDescent="0.35">
      <c r="I1960" s="545"/>
    </row>
    <row r="1961" spans="9:9" s="10" customFormat="1" x14ac:dyDescent="0.35">
      <c r="I1961" s="545"/>
    </row>
    <row r="1962" spans="9:9" s="10" customFormat="1" x14ac:dyDescent="0.35">
      <c r="I1962" s="545"/>
    </row>
    <row r="1963" spans="9:9" s="10" customFormat="1" x14ac:dyDescent="0.35">
      <c r="I1963" s="545"/>
    </row>
    <row r="1964" spans="9:9" s="10" customFormat="1" x14ac:dyDescent="0.35">
      <c r="I1964" s="545"/>
    </row>
    <row r="1965" spans="9:9" s="10" customFormat="1" x14ac:dyDescent="0.35">
      <c r="I1965" s="545"/>
    </row>
    <row r="1966" spans="9:9" s="10" customFormat="1" x14ac:dyDescent="0.35">
      <c r="I1966" s="545"/>
    </row>
    <row r="1967" spans="9:9" s="10" customFormat="1" x14ac:dyDescent="0.35">
      <c r="I1967" s="545"/>
    </row>
    <row r="1968" spans="9:9" s="10" customFormat="1" x14ac:dyDescent="0.35">
      <c r="I1968" s="545"/>
    </row>
    <row r="1969" spans="9:9" s="10" customFormat="1" x14ac:dyDescent="0.35">
      <c r="I1969" s="545"/>
    </row>
    <row r="1970" spans="9:9" s="10" customFormat="1" x14ac:dyDescent="0.35">
      <c r="I1970" s="545"/>
    </row>
    <row r="1971" spans="9:9" s="10" customFormat="1" x14ac:dyDescent="0.35">
      <c r="I1971" s="545"/>
    </row>
    <row r="1972" spans="9:9" s="10" customFormat="1" x14ac:dyDescent="0.35">
      <c r="I1972" s="545"/>
    </row>
    <row r="1973" spans="9:9" s="10" customFormat="1" x14ac:dyDescent="0.35">
      <c r="I1973" s="545"/>
    </row>
    <row r="1974" spans="9:9" s="10" customFormat="1" x14ac:dyDescent="0.35">
      <c r="I1974" s="545"/>
    </row>
    <row r="1975" spans="9:9" s="10" customFormat="1" x14ac:dyDescent="0.35">
      <c r="I1975" s="545"/>
    </row>
    <row r="1976" spans="9:9" s="10" customFormat="1" x14ac:dyDescent="0.35">
      <c r="I1976" s="545"/>
    </row>
    <row r="1977" spans="9:9" s="10" customFormat="1" x14ac:dyDescent="0.35">
      <c r="I1977" s="545"/>
    </row>
    <row r="1978" spans="9:9" s="10" customFormat="1" x14ac:dyDescent="0.35">
      <c r="I1978" s="545"/>
    </row>
    <row r="1979" spans="9:9" s="10" customFormat="1" x14ac:dyDescent="0.35">
      <c r="I1979" s="545"/>
    </row>
    <row r="1980" spans="9:9" s="10" customFormat="1" x14ac:dyDescent="0.35">
      <c r="I1980" s="545"/>
    </row>
    <row r="1981" spans="9:9" s="10" customFormat="1" x14ac:dyDescent="0.35">
      <c r="I1981" s="545"/>
    </row>
    <row r="1982" spans="9:9" s="10" customFormat="1" x14ac:dyDescent="0.35">
      <c r="I1982" s="545"/>
    </row>
    <row r="1983" spans="9:9" s="10" customFormat="1" x14ac:dyDescent="0.35">
      <c r="I1983" s="545"/>
    </row>
    <row r="1984" spans="9:9" s="10" customFormat="1" x14ac:dyDescent="0.35">
      <c r="I1984" s="545"/>
    </row>
    <row r="1985" spans="9:9" s="10" customFormat="1" x14ac:dyDescent="0.35">
      <c r="I1985" s="545"/>
    </row>
    <row r="1986" spans="9:9" s="10" customFormat="1" x14ac:dyDescent="0.35">
      <c r="I1986" s="545"/>
    </row>
    <row r="1987" spans="9:9" s="10" customFormat="1" x14ac:dyDescent="0.35">
      <c r="I1987" s="545"/>
    </row>
    <row r="1988" spans="9:9" s="10" customFormat="1" x14ac:dyDescent="0.35">
      <c r="I1988" s="545"/>
    </row>
    <row r="1989" spans="9:9" s="10" customFormat="1" x14ac:dyDescent="0.35">
      <c r="I1989" s="545"/>
    </row>
    <row r="1990" spans="9:9" s="10" customFormat="1" x14ac:dyDescent="0.35">
      <c r="I1990" s="545"/>
    </row>
    <row r="1991" spans="9:9" s="10" customFormat="1" x14ac:dyDescent="0.35">
      <c r="I1991" s="545"/>
    </row>
    <row r="1992" spans="9:9" s="10" customFormat="1" x14ac:dyDescent="0.35">
      <c r="I1992" s="545"/>
    </row>
    <row r="1993" spans="9:9" s="10" customFormat="1" x14ac:dyDescent="0.35">
      <c r="I1993" s="545"/>
    </row>
    <row r="1994" spans="9:9" s="10" customFormat="1" x14ac:dyDescent="0.35">
      <c r="I1994" s="545"/>
    </row>
    <row r="1995" spans="9:9" s="10" customFormat="1" x14ac:dyDescent="0.35">
      <c r="I1995" s="545"/>
    </row>
    <row r="1996" spans="9:9" s="10" customFormat="1" x14ac:dyDescent="0.35">
      <c r="I1996" s="545"/>
    </row>
    <row r="1997" spans="9:9" s="10" customFormat="1" x14ac:dyDescent="0.35">
      <c r="I1997" s="545"/>
    </row>
    <row r="1998" spans="9:9" s="10" customFormat="1" x14ac:dyDescent="0.35">
      <c r="I1998" s="545"/>
    </row>
    <row r="1999" spans="9:9" s="10" customFormat="1" x14ac:dyDescent="0.35">
      <c r="I1999" s="545"/>
    </row>
    <row r="2000" spans="9:9" s="10" customFormat="1" x14ac:dyDescent="0.35">
      <c r="I2000" s="545"/>
    </row>
    <row r="2001" spans="9:9" s="10" customFormat="1" x14ac:dyDescent="0.35">
      <c r="I2001" s="545"/>
    </row>
    <row r="2002" spans="9:9" s="10" customFormat="1" x14ac:dyDescent="0.35">
      <c r="I2002" s="545"/>
    </row>
    <row r="2003" spans="9:9" s="10" customFormat="1" x14ac:dyDescent="0.35">
      <c r="I2003" s="545"/>
    </row>
    <row r="2004" spans="9:9" s="10" customFormat="1" x14ac:dyDescent="0.35">
      <c r="I2004" s="545"/>
    </row>
    <row r="2005" spans="9:9" s="10" customFormat="1" x14ac:dyDescent="0.35">
      <c r="I2005" s="545"/>
    </row>
    <row r="2006" spans="9:9" s="10" customFormat="1" x14ac:dyDescent="0.35">
      <c r="I2006" s="545"/>
    </row>
    <row r="2007" spans="9:9" s="10" customFormat="1" x14ac:dyDescent="0.35">
      <c r="I2007" s="545"/>
    </row>
    <row r="2008" spans="9:9" s="10" customFormat="1" x14ac:dyDescent="0.35">
      <c r="I2008" s="545"/>
    </row>
    <row r="2009" spans="9:9" s="10" customFormat="1" x14ac:dyDescent="0.35">
      <c r="I2009" s="545"/>
    </row>
    <row r="2010" spans="9:9" s="10" customFormat="1" x14ac:dyDescent="0.35">
      <c r="I2010" s="545"/>
    </row>
    <row r="2011" spans="9:9" s="10" customFormat="1" x14ac:dyDescent="0.35">
      <c r="I2011" s="545"/>
    </row>
    <row r="2012" spans="9:9" s="10" customFormat="1" x14ac:dyDescent="0.35">
      <c r="I2012" s="545"/>
    </row>
    <row r="2013" spans="9:9" s="10" customFormat="1" x14ac:dyDescent="0.35">
      <c r="I2013" s="545"/>
    </row>
    <row r="2014" spans="9:9" s="10" customFormat="1" x14ac:dyDescent="0.35">
      <c r="I2014" s="545"/>
    </row>
    <row r="2015" spans="9:9" s="10" customFormat="1" x14ac:dyDescent="0.35">
      <c r="I2015" s="545"/>
    </row>
    <row r="2016" spans="9:9" s="10" customFormat="1" x14ac:dyDescent="0.35">
      <c r="I2016" s="545"/>
    </row>
    <row r="2017" spans="9:9" s="10" customFormat="1" x14ac:dyDescent="0.35">
      <c r="I2017" s="545"/>
    </row>
    <row r="2018" spans="9:9" s="10" customFormat="1" x14ac:dyDescent="0.35">
      <c r="I2018" s="545"/>
    </row>
    <row r="2019" spans="9:9" s="10" customFormat="1" x14ac:dyDescent="0.35">
      <c r="I2019" s="545"/>
    </row>
    <row r="2020" spans="9:9" s="10" customFormat="1" x14ac:dyDescent="0.35">
      <c r="I2020" s="545"/>
    </row>
    <row r="2021" spans="9:9" s="10" customFormat="1" x14ac:dyDescent="0.35">
      <c r="I2021" s="545"/>
    </row>
    <row r="2022" spans="9:9" s="10" customFormat="1" x14ac:dyDescent="0.35">
      <c r="I2022" s="545"/>
    </row>
    <row r="2023" spans="9:9" s="10" customFormat="1" x14ac:dyDescent="0.35">
      <c r="I2023" s="545"/>
    </row>
    <row r="2024" spans="9:9" s="10" customFormat="1" x14ac:dyDescent="0.35">
      <c r="I2024" s="545"/>
    </row>
    <row r="2025" spans="9:9" s="10" customFormat="1" x14ac:dyDescent="0.35">
      <c r="I2025" s="545"/>
    </row>
    <row r="2026" spans="9:9" s="10" customFormat="1" x14ac:dyDescent="0.35">
      <c r="I2026" s="545"/>
    </row>
    <row r="2027" spans="9:9" s="10" customFormat="1" x14ac:dyDescent="0.35">
      <c r="I2027" s="545"/>
    </row>
    <row r="2028" spans="9:9" s="10" customFormat="1" x14ac:dyDescent="0.35">
      <c r="I2028" s="545"/>
    </row>
    <row r="2029" spans="9:9" s="10" customFormat="1" x14ac:dyDescent="0.35">
      <c r="I2029" s="545"/>
    </row>
    <row r="2030" spans="9:9" s="10" customFormat="1" x14ac:dyDescent="0.35">
      <c r="I2030" s="545"/>
    </row>
    <row r="2031" spans="9:9" s="10" customFormat="1" x14ac:dyDescent="0.35">
      <c r="I2031" s="545"/>
    </row>
    <row r="2032" spans="9:9" s="10" customFormat="1" x14ac:dyDescent="0.35">
      <c r="I2032" s="545"/>
    </row>
    <row r="2033" spans="9:9" s="10" customFormat="1" x14ac:dyDescent="0.35">
      <c r="I2033" s="545"/>
    </row>
    <row r="2034" spans="9:9" s="10" customFormat="1" x14ac:dyDescent="0.35">
      <c r="I2034" s="545"/>
    </row>
    <row r="2035" spans="9:9" s="10" customFormat="1" x14ac:dyDescent="0.35">
      <c r="I2035" s="545"/>
    </row>
    <row r="2036" spans="9:9" s="10" customFormat="1" x14ac:dyDescent="0.35">
      <c r="I2036" s="545"/>
    </row>
    <row r="2037" spans="9:9" s="10" customFormat="1" x14ac:dyDescent="0.35">
      <c r="I2037" s="545"/>
    </row>
    <row r="2038" spans="9:9" s="10" customFormat="1" x14ac:dyDescent="0.35">
      <c r="I2038" s="545"/>
    </row>
    <row r="2039" spans="9:9" s="10" customFormat="1" x14ac:dyDescent="0.35">
      <c r="I2039" s="545"/>
    </row>
    <row r="2040" spans="9:9" s="10" customFormat="1" x14ac:dyDescent="0.35">
      <c r="I2040" s="545"/>
    </row>
    <row r="2041" spans="9:9" s="10" customFormat="1" x14ac:dyDescent="0.35">
      <c r="I2041" s="545"/>
    </row>
    <row r="2042" spans="9:9" s="10" customFormat="1" x14ac:dyDescent="0.35">
      <c r="I2042" s="545"/>
    </row>
    <row r="2043" spans="9:9" s="10" customFormat="1" x14ac:dyDescent="0.35">
      <c r="I2043" s="545"/>
    </row>
    <row r="2044" spans="9:9" s="10" customFormat="1" x14ac:dyDescent="0.35">
      <c r="I2044" s="545"/>
    </row>
    <row r="2045" spans="9:9" s="10" customFormat="1" x14ac:dyDescent="0.35">
      <c r="I2045" s="545"/>
    </row>
    <row r="2046" spans="9:9" s="10" customFormat="1" x14ac:dyDescent="0.35">
      <c r="I2046" s="545"/>
    </row>
    <row r="2047" spans="9:9" s="10" customFormat="1" x14ac:dyDescent="0.35">
      <c r="I2047" s="545"/>
    </row>
    <row r="2048" spans="9:9" s="10" customFormat="1" x14ac:dyDescent="0.35">
      <c r="I2048" s="545"/>
    </row>
    <row r="2049" spans="9:9" s="10" customFormat="1" x14ac:dyDescent="0.35">
      <c r="I2049" s="545"/>
    </row>
    <row r="2050" spans="9:9" s="10" customFormat="1" x14ac:dyDescent="0.35">
      <c r="I2050" s="545"/>
    </row>
    <row r="2051" spans="9:9" s="10" customFormat="1" x14ac:dyDescent="0.35">
      <c r="I2051" s="545"/>
    </row>
    <row r="2052" spans="9:9" s="10" customFormat="1" x14ac:dyDescent="0.35">
      <c r="I2052" s="545"/>
    </row>
    <row r="2053" spans="9:9" s="10" customFormat="1" x14ac:dyDescent="0.35">
      <c r="I2053" s="545"/>
    </row>
    <row r="2054" spans="9:9" s="10" customFormat="1" x14ac:dyDescent="0.35">
      <c r="I2054" s="545"/>
    </row>
    <row r="2055" spans="9:9" s="10" customFormat="1" x14ac:dyDescent="0.35">
      <c r="I2055" s="545"/>
    </row>
    <row r="2056" spans="9:9" s="10" customFormat="1" x14ac:dyDescent="0.35">
      <c r="I2056" s="545"/>
    </row>
    <row r="2057" spans="9:9" s="10" customFormat="1" x14ac:dyDescent="0.35">
      <c r="I2057" s="545"/>
    </row>
    <row r="2058" spans="9:9" s="10" customFormat="1" x14ac:dyDescent="0.35">
      <c r="I2058" s="545"/>
    </row>
    <row r="2059" spans="9:9" s="10" customFormat="1" x14ac:dyDescent="0.35">
      <c r="I2059" s="545"/>
    </row>
    <row r="2060" spans="9:9" s="10" customFormat="1" x14ac:dyDescent="0.35">
      <c r="I2060" s="545"/>
    </row>
    <row r="2061" spans="9:9" s="10" customFormat="1" x14ac:dyDescent="0.35">
      <c r="I2061" s="545"/>
    </row>
    <row r="2062" spans="9:9" s="10" customFormat="1" x14ac:dyDescent="0.35">
      <c r="I2062" s="545"/>
    </row>
    <row r="2063" spans="9:9" s="10" customFormat="1" x14ac:dyDescent="0.35">
      <c r="I2063" s="545"/>
    </row>
    <row r="2064" spans="9:9" s="10" customFormat="1" x14ac:dyDescent="0.35">
      <c r="I2064" s="545"/>
    </row>
    <row r="2065" spans="9:9" s="10" customFormat="1" x14ac:dyDescent="0.35">
      <c r="I2065" s="545"/>
    </row>
    <row r="2066" spans="9:9" s="10" customFormat="1" x14ac:dyDescent="0.35">
      <c r="I2066" s="545"/>
    </row>
    <row r="2067" spans="9:9" s="10" customFormat="1" x14ac:dyDescent="0.35">
      <c r="I2067" s="545"/>
    </row>
    <row r="2068" spans="9:9" s="10" customFormat="1" x14ac:dyDescent="0.35">
      <c r="I2068" s="545"/>
    </row>
    <row r="2069" spans="9:9" s="10" customFormat="1" x14ac:dyDescent="0.35">
      <c r="I2069" s="545"/>
    </row>
    <row r="2070" spans="9:9" s="10" customFormat="1" x14ac:dyDescent="0.35">
      <c r="I2070" s="545"/>
    </row>
    <row r="2071" spans="9:9" s="10" customFormat="1" x14ac:dyDescent="0.35">
      <c r="I2071" s="545"/>
    </row>
    <row r="2072" spans="9:9" s="10" customFormat="1" x14ac:dyDescent="0.35">
      <c r="I2072" s="545"/>
    </row>
    <row r="2073" spans="9:9" s="10" customFormat="1" x14ac:dyDescent="0.35">
      <c r="I2073" s="545"/>
    </row>
    <row r="2074" spans="9:9" s="10" customFormat="1" x14ac:dyDescent="0.35">
      <c r="I2074" s="545"/>
    </row>
    <row r="2075" spans="9:9" s="10" customFormat="1" x14ac:dyDescent="0.35">
      <c r="I2075" s="545"/>
    </row>
    <row r="2076" spans="9:9" s="10" customFormat="1" x14ac:dyDescent="0.35">
      <c r="I2076" s="545"/>
    </row>
    <row r="2077" spans="9:9" s="10" customFormat="1" x14ac:dyDescent="0.35">
      <c r="I2077" s="545"/>
    </row>
    <row r="2078" spans="9:9" s="10" customFormat="1" x14ac:dyDescent="0.35">
      <c r="I2078" s="545"/>
    </row>
    <row r="2079" spans="9:9" s="10" customFormat="1" x14ac:dyDescent="0.35">
      <c r="I2079" s="545"/>
    </row>
    <row r="2080" spans="9:9" s="10" customFormat="1" x14ac:dyDescent="0.35">
      <c r="I2080" s="545"/>
    </row>
    <row r="2081" spans="9:9" s="10" customFormat="1" x14ac:dyDescent="0.35">
      <c r="I2081" s="545"/>
    </row>
    <row r="2082" spans="9:9" s="10" customFormat="1" x14ac:dyDescent="0.35">
      <c r="I2082" s="545"/>
    </row>
    <row r="2083" spans="9:9" s="10" customFormat="1" x14ac:dyDescent="0.35">
      <c r="I2083" s="545"/>
    </row>
    <row r="2084" spans="9:9" s="10" customFormat="1" x14ac:dyDescent="0.35">
      <c r="I2084" s="545"/>
    </row>
    <row r="2085" spans="9:9" s="10" customFormat="1" x14ac:dyDescent="0.35">
      <c r="I2085" s="545"/>
    </row>
    <row r="2086" spans="9:9" s="10" customFormat="1" x14ac:dyDescent="0.35">
      <c r="I2086" s="545"/>
    </row>
    <row r="2087" spans="9:9" s="10" customFormat="1" x14ac:dyDescent="0.35">
      <c r="I2087" s="545"/>
    </row>
    <row r="2088" spans="9:9" s="10" customFormat="1" x14ac:dyDescent="0.35">
      <c r="I2088" s="545"/>
    </row>
    <row r="2089" spans="9:9" s="10" customFormat="1" x14ac:dyDescent="0.35">
      <c r="I2089" s="545"/>
    </row>
    <row r="2090" spans="9:9" s="10" customFormat="1" x14ac:dyDescent="0.35">
      <c r="I2090" s="545"/>
    </row>
    <row r="2091" spans="9:9" s="10" customFormat="1" x14ac:dyDescent="0.35">
      <c r="I2091" s="545"/>
    </row>
    <row r="2092" spans="9:9" s="10" customFormat="1" x14ac:dyDescent="0.35">
      <c r="I2092" s="545"/>
    </row>
    <row r="2093" spans="9:9" s="10" customFormat="1" x14ac:dyDescent="0.35">
      <c r="I2093" s="545"/>
    </row>
    <row r="2094" spans="9:9" s="10" customFormat="1" x14ac:dyDescent="0.35">
      <c r="I2094" s="545"/>
    </row>
    <row r="2095" spans="9:9" s="10" customFormat="1" x14ac:dyDescent="0.35">
      <c r="I2095" s="545"/>
    </row>
    <row r="2096" spans="9:9" s="10" customFormat="1" x14ac:dyDescent="0.35">
      <c r="I2096" s="545"/>
    </row>
    <row r="2097" spans="9:9" s="10" customFormat="1" x14ac:dyDescent="0.35">
      <c r="I2097" s="545"/>
    </row>
    <row r="2098" spans="9:9" s="10" customFormat="1" x14ac:dyDescent="0.35">
      <c r="I2098" s="545"/>
    </row>
    <row r="2099" spans="9:9" s="10" customFormat="1" x14ac:dyDescent="0.35">
      <c r="I2099" s="545"/>
    </row>
    <row r="2100" spans="9:9" s="10" customFormat="1" x14ac:dyDescent="0.35">
      <c r="I2100" s="545"/>
    </row>
    <row r="2101" spans="9:9" s="10" customFormat="1" x14ac:dyDescent="0.35">
      <c r="I2101" s="545"/>
    </row>
    <row r="2102" spans="9:9" s="10" customFormat="1" x14ac:dyDescent="0.35">
      <c r="I2102" s="545"/>
    </row>
    <row r="2103" spans="9:9" s="10" customFormat="1" x14ac:dyDescent="0.35">
      <c r="I2103" s="545"/>
    </row>
    <row r="2104" spans="9:9" s="10" customFormat="1" x14ac:dyDescent="0.35">
      <c r="I2104" s="545"/>
    </row>
    <row r="2105" spans="9:9" s="10" customFormat="1" x14ac:dyDescent="0.35">
      <c r="I2105" s="545"/>
    </row>
    <row r="2106" spans="9:9" s="10" customFormat="1" x14ac:dyDescent="0.35">
      <c r="I2106" s="545"/>
    </row>
    <row r="2107" spans="9:9" s="10" customFormat="1" x14ac:dyDescent="0.35">
      <c r="I2107" s="545"/>
    </row>
    <row r="2108" spans="9:9" s="10" customFormat="1" x14ac:dyDescent="0.35">
      <c r="I2108" s="545"/>
    </row>
    <row r="2109" spans="9:9" s="10" customFormat="1" x14ac:dyDescent="0.35">
      <c r="I2109" s="545"/>
    </row>
    <row r="2110" spans="9:9" s="10" customFormat="1" x14ac:dyDescent="0.35">
      <c r="I2110" s="545"/>
    </row>
    <row r="2111" spans="9:9" s="10" customFormat="1" x14ac:dyDescent="0.35">
      <c r="I2111" s="545"/>
    </row>
    <row r="2112" spans="9:9" s="10" customFormat="1" x14ac:dyDescent="0.35">
      <c r="I2112" s="545"/>
    </row>
    <row r="2113" spans="9:9" s="10" customFormat="1" x14ac:dyDescent="0.35">
      <c r="I2113" s="545"/>
    </row>
    <row r="2114" spans="9:9" s="10" customFormat="1" x14ac:dyDescent="0.35">
      <c r="I2114" s="545"/>
    </row>
    <row r="2115" spans="9:9" s="10" customFormat="1" x14ac:dyDescent="0.35">
      <c r="I2115" s="545"/>
    </row>
    <row r="2116" spans="9:9" s="10" customFormat="1" x14ac:dyDescent="0.35">
      <c r="I2116" s="545"/>
    </row>
    <row r="2117" spans="9:9" s="10" customFormat="1" x14ac:dyDescent="0.35">
      <c r="I2117" s="545"/>
    </row>
    <row r="2118" spans="9:9" s="10" customFormat="1" x14ac:dyDescent="0.35">
      <c r="I2118" s="545"/>
    </row>
    <row r="2119" spans="9:9" s="10" customFormat="1" x14ac:dyDescent="0.35">
      <c r="I2119" s="545"/>
    </row>
    <row r="2120" spans="9:9" s="10" customFormat="1" x14ac:dyDescent="0.35">
      <c r="I2120" s="545"/>
    </row>
    <row r="2121" spans="9:9" s="10" customFormat="1" x14ac:dyDescent="0.35">
      <c r="I2121" s="545"/>
    </row>
    <row r="2122" spans="9:9" s="10" customFormat="1" x14ac:dyDescent="0.35">
      <c r="I2122" s="545"/>
    </row>
    <row r="2123" spans="9:9" s="10" customFormat="1" x14ac:dyDescent="0.35">
      <c r="I2123" s="545"/>
    </row>
    <row r="2124" spans="9:9" s="10" customFormat="1" x14ac:dyDescent="0.35">
      <c r="I2124" s="545"/>
    </row>
    <row r="2125" spans="9:9" s="10" customFormat="1" x14ac:dyDescent="0.35">
      <c r="I2125" s="545"/>
    </row>
    <row r="2126" spans="9:9" s="10" customFormat="1" x14ac:dyDescent="0.35">
      <c r="I2126" s="545"/>
    </row>
    <row r="2127" spans="9:9" s="10" customFormat="1" x14ac:dyDescent="0.35">
      <c r="I2127" s="545"/>
    </row>
    <row r="2128" spans="9:9" s="10" customFormat="1" x14ac:dyDescent="0.35">
      <c r="I2128" s="545"/>
    </row>
    <row r="2129" spans="9:9" s="10" customFormat="1" x14ac:dyDescent="0.35">
      <c r="I2129" s="545"/>
    </row>
    <row r="2130" spans="9:9" s="10" customFormat="1" x14ac:dyDescent="0.35">
      <c r="I2130" s="545"/>
    </row>
    <row r="2131" spans="9:9" s="10" customFormat="1" x14ac:dyDescent="0.35">
      <c r="I2131" s="545"/>
    </row>
    <row r="2132" spans="9:9" s="10" customFormat="1" x14ac:dyDescent="0.35">
      <c r="I2132" s="545"/>
    </row>
    <row r="2133" spans="9:9" s="10" customFormat="1" x14ac:dyDescent="0.35">
      <c r="I2133" s="545"/>
    </row>
    <row r="2134" spans="9:9" s="10" customFormat="1" x14ac:dyDescent="0.35">
      <c r="I2134" s="545"/>
    </row>
    <row r="2135" spans="9:9" s="10" customFormat="1" x14ac:dyDescent="0.35">
      <c r="I2135" s="545"/>
    </row>
    <row r="2136" spans="9:9" s="10" customFormat="1" x14ac:dyDescent="0.35">
      <c r="I2136" s="545"/>
    </row>
    <row r="2137" spans="9:9" s="10" customFormat="1" x14ac:dyDescent="0.35">
      <c r="I2137" s="545"/>
    </row>
    <row r="2138" spans="9:9" s="10" customFormat="1" x14ac:dyDescent="0.35">
      <c r="I2138" s="545"/>
    </row>
    <row r="2139" spans="9:9" s="10" customFormat="1" x14ac:dyDescent="0.35">
      <c r="I2139" s="545"/>
    </row>
    <row r="2140" spans="9:9" s="10" customFormat="1" x14ac:dyDescent="0.35">
      <c r="I2140" s="545"/>
    </row>
    <row r="2141" spans="9:9" s="10" customFormat="1" x14ac:dyDescent="0.35">
      <c r="I2141" s="545"/>
    </row>
    <row r="2142" spans="9:9" s="10" customFormat="1" x14ac:dyDescent="0.35">
      <c r="I2142" s="545"/>
    </row>
    <row r="2143" spans="9:9" s="10" customFormat="1" x14ac:dyDescent="0.35">
      <c r="I2143" s="545"/>
    </row>
    <row r="2144" spans="9:9" s="10" customFormat="1" x14ac:dyDescent="0.35">
      <c r="I2144" s="545"/>
    </row>
    <row r="2145" spans="9:9" s="10" customFormat="1" x14ac:dyDescent="0.35">
      <c r="I2145" s="545"/>
    </row>
    <row r="2146" spans="9:9" s="10" customFormat="1" x14ac:dyDescent="0.35">
      <c r="I2146" s="545"/>
    </row>
    <row r="2147" spans="9:9" s="10" customFormat="1" x14ac:dyDescent="0.35">
      <c r="I2147" s="545"/>
    </row>
    <row r="2148" spans="9:9" s="10" customFormat="1" x14ac:dyDescent="0.35">
      <c r="I2148" s="545"/>
    </row>
    <row r="2149" spans="9:9" s="10" customFormat="1" x14ac:dyDescent="0.35">
      <c r="I2149" s="545"/>
    </row>
    <row r="2150" spans="9:9" s="10" customFormat="1" x14ac:dyDescent="0.35">
      <c r="I2150" s="545"/>
    </row>
    <row r="2151" spans="9:9" s="10" customFormat="1" x14ac:dyDescent="0.35">
      <c r="I2151" s="545"/>
    </row>
    <row r="2152" spans="9:9" s="10" customFormat="1" x14ac:dyDescent="0.35">
      <c r="I2152" s="545"/>
    </row>
    <row r="2153" spans="9:9" s="10" customFormat="1" x14ac:dyDescent="0.35">
      <c r="I2153" s="545"/>
    </row>
    <row r="2154" spans="9:9" s="10" customFormat="1" x14ac:dyDescent="0.35">
      <c r="I2154" s="545"/>
    </row>
    <row r="2155" spans="9:9" s="10" customFormat="1" x14ac:dyDescent="0.35">
      <c r="I2155" s="545"/>
    </row>
    <row r="2156" spans="9:9" s="10" customFormat="1" x14ac:dyDescent="0.35">
      <c r="I2156" s="545"/>
    </row>
    <row r="2157" spans="9:9" s="10" customFormat="1" x14ac:dyDescent="0.35">
      <c r="I2157" s="545"/>
    </row>
    <row r="2158" spans="9:9" s="10" customFormat="1" x14ac:dyDescent="0.35">
      <c r="I2158" s="545"/>
    </row>
    <row r="2159" spans="9:9" s="10" customFormat="1" x14ac:dyDescent="0.35">
      <c r="I2159" s="545"/>
    </row>
    <row r="2160" spans="9:9" s="10" customFormat="1" x14ac:dyDescent="0.35">
      <c r="I2160" s="545"/>
    </row>
    <row r="2161" spans="9:9" s="10" customFormat="1" x14ac:dyDescent="0.35">
      <c r="I2161" s="545"/>
    </row>
    <row r="2162" spans="9:9" s="10" customFormat="1" x14ac:dyDescent="0.35">
      <c r="I2162" s="545"/>
    </row>
    <row r="2163" spans="9:9" s="10" customFormat="1" x14ac:dyDescent="0.35">
      <c r="I2163" s="545"/>
    </row>
    <row r="2164" spans="9:9" s="10" customFormat="1" x14ac:dyDescent="0.35">
      <c r="I2164" s="545"/>
    </row>
    <row r="2165" spans="9:9" s="10" customFormat="1" x14ac:dyDescent="0.35">
      <c r="I2165" s="545"/>
    </row>
    <row r="2166" spans="9:9" s="10" customFormat="1" x14ac:dyDescent="0.35">
      <c r="I2166" s="545"/>
    </row>
    <row r="2167" spans="9:9" s="10" customFormat="1" x14ac:dyDescent="0.35">
      <c r="I2167" s="545"/>
    </row>
    <row r="2168" spans="9:9" s="10" customFormat="1" x14ac:dyDescent="0.35">
      <c r="I2168" s="545"/>
    </row>
    <row r="2169" spans="9:9" s="10" customFormat="1" x14ac:dyDescent="0.35">
      <c r="I2169" s="545"/>
    </row>
    <row r="2170" spans="9:9" s="10" customFormat="1" x14ac:dyDescent="0.35">
      <c r="I2170" s="545"/>
    </row>
    <row r="2171" spans="9:9" s="10" customFormat="1" x14ac:dyDescent="0.35">
      <c r="I2171" s="545"/>
    </row>
    <row r="2172" spans="9:9" s="10" customFormat="1" x14ac:dyDescent="0.35">
      <c r="I2172" s="545"/>
    </row>
    <row r="2173" spans="9:9" s="10" customFormat="1" x14ac:dyDescent="0.35">
      <c r="I2173" s="545"/>
    </row>
    <row r="2174" spans="9:9" s="10" customFormat="1" x14ac:dyDescent="0.35">
      <c r="I2174" s="545"/>
    </row>
    <row r="2175" spans="9:9" s="10" customFormat="1" x14ac:dyDescent="0.35">
      <c r="I2175" s="545"/>
    </row>
    <row r="2176" spans="9:9" s="10" customFormat="1" x14ac:dyDescent="0.35">
      <c r="I2176" s="545"/>
    </row>
    <row r="2177" spans="9:9" s="10" customFormat="1" x14ac:dyDescent="0.35">
      <c r="I2177" s="545"/>
    </row>
    <row r="2178" spans="9:9" s="10" customFormat="1" x14ac:dyDescent="0.35">
      <c r="I2178" s="545"/>
    </row>
  </sheetData>
  <mergeCells count="1">
    <mergeCell ref="D1:H1"/>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90" zoomScaleNormal="90" zoomScalePageLayoutView="90" workbookViewId="0">
      <selection activeCell="BB42" sqref="BB42"/>
    </sheetView>
  </sheetViews>
  <sheetFormatPr defaultColWidth="6.453125" defaultRowHeight="14.5" x14ac:dyDescent="0.35"/>
  <cols>
    <col min="1" max="1" width="5.453125" style="10" bestFit="1" customWidth="1"/>
    <col min="2" max="2" width="4" style="10" bestFit="1" customWidth="1"/>
    <col min="3" max="3" width="6" style="10" bestFit="1" customWidth="1"/>
    <col min="4" max="5" width="2" style="10" bestFit="1" customWidth="1"/>
    <col min="6" max="6" width="2.7265625" style="10" bestFit="1" customWidth="1"/>
    <col min="7" max="12" width="3" style="10" bestFit="1" customWidth="1"/>
    <col min="13" max="13" width="3.453125" style="10" bestFit="1" customWidth="1"/>
    <col min="14" max="14" width="5.26953125" style="10" bestFit="1" customWidth="1"/>
    <col min="15" max="19" width="3.453125" style="10" bestFit="1" customWidth="1"/>
    <col min="20" max="22" width="3.1796875" style="10" bestFit="1" customWidth="1"/>
    <col min="23" max="24" width="4.453125" style="11" bestFit="1" customWidth="1"/>
    <col min="25" max="25" width="7.26953125" style="10" customWidth="1"/>
    <col min="26" max="26" width="7.7265625" style="12" bestFit="1" customWidth="1"/>
    <col min="27" max="27" width="7.81640625" style="12" bestFit="1" customWidth="1"/>
    <col min="28" max="28" width="10.26953125" style="10" bestFit="1" customWidth="1"/>
    <col min="29" max="32" width="4.81640625" style="10" bestFit="1" customWidth="1"/>
    <col min="33" max="37" width="5.81640625" style="10" bestFit="1" customWidth="1"/>
    <col min="38" max="42" width="5.81640625" style="12" bestFit="1" customWidth="1"/>
    <col min="43" max="43" width="7.453125" style="11" bestFit="1" customWidth="1"/>
    <col min="44" max="44" width="6.7265625" style="10" bestFit="1" customWidth="1"/>
    <col min="45" max="45" width="5.26953125" style="10" bestFit="1" customWidth="1"/>
    <col min="46" max="46" width="6.7265625" style="10" bestFit="1" customWidth="1"/>
    <col min="47" max="47" width="8.7265625" style="10" bestFit="1" customWidth="1"/>
    <col min="48" max="16384" width="6.453125" style="10"/>
  </cols>
  <sheetData>
    <row r="1" spans="1:50" s="13" customFormat="1" ht="46.5" customHeight="1" x14ac:dyDescent="0.3">
      <c r="A1" s="20"/>
      <c r="B1" s="20"/>
      <c r="C1" s="20"/>
      <c r="D1" s="1065" t="s">
        <v>56</v>
      </c>
      <c r="E1" s="1065"/>
      <c r="F1" s="1065"/>
      <c r="G1" s="1065"/>
      <c r="H1" s="1065"/>
      <c r="I1" s="1065" t="s">
        <v>55</v>
      </c>
      <c r="J1" s="1065"/>
      <c r="K1" s="1065"/>
      <c r="L1" s="1065"/>
      <c r="M1" s="1065"/>
      <c r="N1" s="29"/>
      <c r="O1" s="1065" t="s">
        <v>54</v>
      </c>
      <c r="P1" s="1065"/>
      <c r="Q1" s="1065"/>
      <c r="R1" s="1065"/>
      <c r="S1" s="1065"/>
      <c r="T1" s="1065" t="s">
        <v>52</v>
      </c>
      <c r="U1" s="1065"/>
      <c r="V1" s="1065"/>
      <c r="W1" s="1065"/>
      <c r="X1" s="1065"/>
      <c r="Y1" s="241" t="s">
        <v>74</v>
      </c>
      <c r="Z1" s="242" t="s">
        <v>73</v>
      </c>
      <c r="AA1" s="242" t="s">
        <v>132</v>
      </c>
      <c r="AB1" s="1065" t="s">
        <v>51</v>
      </c>
      <c r="AC1" s="1065"/>
      <c r="AD1" s="1065"/>
      <c r="AE1" s="1065"/>
      <c r="AF1" s="1065"/>
      <c r="AG1" s="1065" t="s">
        <v>50</v>
      </c>
      <c r="AH1" s="1065"/>
      <c r="AI1" s="1065"/>
      <c r="AJ1" s="1065"/>
      <c r="AK1" s="1065"/>
      <c r="AL1" s="1066" t="s">
        <v>49</v>
      </c>
      <c r="AM1" s="1066"/>
      <c r="AN1" s="1066"/>
      <c r="AO1" s="1066"/>
      <c r="AP1" s="1066"/>
      <c r="AQ1" s="1067" t="s">
        <v>48</v>
      </c>
      <c r="AR1" s="1067"/>
      <c r="AS1" s="1067"/>
      <c r="AT1" s="1067"/>
      <c r="AU1" s="1068"/>
      <c r="AV1" s="1068"/>
      <c r="AW1" s="1068"/>
      <c r="AX1" s="1068"/>
    </row>
    <row r="2" spans="1:50" s="23" customFormat="1" ht="37.5" customHeight="1" x14ac:dyDescent="0.3">
      <c r="A2" s="29" t="s">
        <v>47</v>
      </c>
      <c r="B2" s="29" t="s">
        <v>46</v>
      </c>
      <c r="C2" s="29" t="s">
        <v>45</v>
      </c>
      <c r="D2" s="29">
        <v>1</v>
      </c>
      <c r="E2" s="29">
        <v>2</v>
      </c>
      <c r="F2" s="29">
        <v>3</v>
      </c>
      <c r="G2" s="29">
        <v>4</v>
      </c>
      <c r="H2" s="29">
        <v>5</v>
      </c>
      <c r="I2" s="29">
        <v>1</v>
      </c>
      <c r="J2" s="29">
        <v>2</v>
      </c>
      <c r="K2" s="29">
        <v>3</v>
      </c>
      <c r="L2" s="29">
        <v>4</v>
      </c>
      <c r="M2" s="29">
        <v>5</v>
      </c>
      <c r="N2" s="241" t="s">
        <v>44</v>
      </c>
      <c r="O2" s="29">
        <v>1</v>
      </c>
      <c r="P2" s="29">
        <v>2</v>
      </c>
      <c r="Q2" s="29">
        <v>3</v>
      </c>
      <c r="R2" s="29">
        <v>4</v>
      </c>
      <c r="S2" s="29">
        <v>5</v>
      </c>
      <c r="T2" s="29">
        <v>1</v>
      </c>
      <c r="U2" s="29">
        <v>2</v>
      </c>
      <c r="V2" s="29">
        <v>3</v>
      </c>
      <c r="W2" s="29">
        <v>4</v>
      </c>
      <c r="X2" s="29">
        <v>5</v>
      </c>
      <c r="Y2" s="29"/>
      <c r="Z2" s="242"/>
      <c r="AA2" s="242"/>
      <c r="AB2" s="29">
        <v>1</v>
      </c>
      <c r="AC2" s="29">
        <v>2</v>
      </c>
      <c r="AD2" s="29">
        <v>3</v>
      </c>
      <c r="AE2" s="29">
        <v>4</v>
      </c>
      <c r="AF2" s="29">
        <v>5</v>
      </c>
      <c r="AG2" s="29">
        <v>1</v>
      </c>
      <c r="AH2" s="29">
        <v>2</v>
      </c>
      <c r="AI2" s="29">
        <v>3</v>
      </c>
      <c r="AJ2" s="29">
        <v>4</v>
      </c>
      <c r="AK2" s="29">
        <v>5</v>
      </c>
      <c r="AL2" s="28">
        <v>1</v>
      </c>
      <c r="AM2" s="28">
        <v>2</v>
      </c>
      <c r="AN2" s="28">
        <v>3</v>
      </c>
      <c r="AO2" s="28">
        <v>4</v>
      </c>
      <c r="AP2" s="28">
        <v>5</v>
      </c>
      <c r="AQ2" s="243" t="s">
        <v>43</v>
      </c>
      <c r="AR2" s="241" t="s">
        <v>42</v>
      </c>
      <c r="AS2" s="241" t="s">
        <v>41</v>
      </c>
      <c r="AT2" s="241" t="s">
        <v>28</v>
      </c>
      <c r="AU2" s="29" t="s">
        <v>153</v>
      </c>
      <c r="AV2" s="24"/>
      <c r="AW2" s="24"/>
      <c r="AX2" s="24"/>
    </row>
    <row r="3" spans="1:50" s="13" customFormat="1" ht="13" x14ac:dyDescent="0.3">
      <c r="A3" s="20">
        <v>1</v>
      </c>
      <c r="B3" s="20">
        <v>1</v>
      </c>
      <c r="C3" s="20" t="s">
        <v>2</v>
      </c>
      <c r="D3" s="17"/>
      <c r="E3" s="17"/>
      <c r="F3" s="17"/>
      <c r="G3" s="17"/>
      <c r="H3" s="17"/>
      <c r="I3" s="17"/>
      <c r="J3" s="17"/>
      <c r="K3" s="17"/>
      <c r="L3" s="17"/>
      <c r="M3" s="17"/>
      <c r="N3" s="15"/>
      <c r="O3" s="15"/>
      <c r="P3" s="15"/>
      <c r="Q3" s="15"/>
      <c r="R3" s="15"/>
      <c r="S3" s="15"/>
      <c r="T3" s="18"/>
      <c r="U3" s="18"/>
      <c r="V3" s="18"/>
      <c r="W3" s="183"/>
      <c r="X3" s="183"/>
      <c r="Y3" s="18"/>
      <c r="Z3" s="16"/>
      <c r="AA3" s="203"/>
      <c r="AB3" s="15"/>
      <c r="AC3" s="18"/>
      <c r="AD3" s="18"/>
      <c r="AE3" s="18"/>
      <c r="AF3" s="18"/>
      <c r="AG3" s="15"/>
      <c r="AH3" s="18"/>
      <c r="AI3" s="18"/>
      <c r="AJ3" s="18"/>
      <c r="AK3" s="18"/>
      <c r="AL3" s="17"/>
      <c r="AM3" s="16"/>
      <c r="AN3" s="16"/>
      <c r="AO3" s="16"/>
      <c r="AP3" s="16"/>
      <c r="AQ3" s="17"/>
      <c r="AR3" s="17"/>
      <c r="AS3" s="17"/>
      <c r="AT3" s="17"/>
      <c r="AU3" s="22"/>
      <c r="AV3" s="22"/>
      <c r="AW3" s="22"/>
      <c r="AX3" s="22"/>
    </row>
    <row r="4" spans="1:50" s="13" customFormat="1" ht="13" x14ac:dyDescent="0.3">
      <c r="A4" s="20">
        <v>1</v>
      </c>
      <c r="B4" s="20">
        <v>1</v>
      </c>
      <c r="C4" s="20" t="s">
        <v>40</v>
      </c>
      <c r="D4" s="17"/>
      <c r="E4" s="17"/>
      <c r="F4" s="17"/>
      <c r="G4" s="17"/>
      <c r="H4" s="17"/>
      <c r="I4" s="17"/>
      <c r="J4" s="17"/>
      <c r="K4" s="17"/>
      <c r="L4" s="17"/>
      <c r="M4" s="17"/>
      <c r="N4" s="15"/>
      <c r="O4" s="15"/>
      <c r="P4" s="15"/>
      <c r="Q4" s="15"/>
      <c r="R4" s="15"/>
      <c r="S4" s="15"/>
      <c r="T4" s="18"/>
      <c r="U4" s="18"/>
      <c r="V4" s="18"/>
      <c r="W4" s="183"/>
      <c r="X4" s="183"/>
      <c r="Y4" s="18"/>
      <c r="Z4" s="16"/>
      <c r="AA4" s="30"/>
      <c r="AB4" s="15"/>
      <c r="AC4" s="18"/>
      <c r="AD4" s="18"/>
      <c r="AE4" s="18"/>
      <c r="AF4" s="18"/>
      <c r="AG4" s="15"/>
      <c r="AH4" s="18"/>
      <c r="AI4" s="18"/>
      <c r="AJ4" s="18"/>
      <c r="AK4" s="18"/>
      <c r="AL4" s="17"/>
      <c r="AM4" s="16"/>
      <c r="AN4" s="16"/>
      <c r="AO4" s="16"/>
      <c r="AP4" s="16"/>
      <c r="AQ4" s="17"/>
      <c r="AR4" s="17"/>
      <c r="AS4" s="17"/>
      <c r="AT4" s="17"/>
      <c r="AU4" s="22"/>
      <c r="AV4" s="22"/>
      <c r="AW4" s="22"/>
      <c r="AX4" s="22"/>
    </row>
    <row r="5" spans="1:50" s="13" customFormat="1" ht="13" x14ac:dyDescent="0.3">
      <c r="A5" s="20">
        <v>1</v>
      </c>
      <c r="B5" s="20">
        <v>1</v>
      </c>
      <c r="C5" s="20" t="s">
        <v>39</v>
      </c>
      <c r="D5" s="17">
        <f>Scenario!AN21</f>
        <v>0.37339203160199785</v>
      </c>
      <c r="E5" s="17">
        <f>Scenario!AO21</f>
        <v>0.89041070258950428</v>
      </c>
      <c r="F5" s="17">
        <f>Scenario!AP21</f>
        <v>1.6255263073807924</v>
      </c>
      <c r="G5" s="17">
        <f>Scenario!AQ21</f>
        <v>2.9675471872727468</v>
      </c>
      <c r="H5" s="17">
        <f>Scenario!AR21</f>
        <v>7.0765724824131357</v>
      </c>
      <c r="I5" s="17">
        <f>IF((D5+'Non travel METs'!C5)&gt;2.5,(D5+'Non travel METs'!C5),0.1)</f>
        <v>58.173392031601992</v>
      </c>
      <c r="J5" s="17">
        <f>IF((E5+'Non travel METs'!D5)&gt;2.5,(E5+'Non travel METs'!D5),0.1)</f>
        <v>41.890410702589506</v>
      </c>
      <c r="K5" s="17">
        <f>IF((F5+'Non travel METs'!E5)&gt;2.5,(F5+'Non travel METs'!E5),0.1)</f>
        <v>47.125526307380795</v>
      </c>
      <c r="L5" s="17">
        <f>IF((G5+'Non travel METs'!F5)&gt;2.5,(G5+'Non travel METs'!F5),0.1)</f>
        <v>40.892547187272747</v>
      </c>
      <c r="M5" s="17">
        <f>IF((H5+'Non travel METs'!G5)&gt;2.5,(H5+'Non travel METs'!G5),0.1)</f>
        <v>48.076572482413134</v>
      </c>
      <c r="N5" s="19">
        <f>'Phy activity RRs'!$O$4</f>
        <v>0.89073615217571622</v>
      </c>
      <c r="O5" s="15">
        <f>$N5^(I5^0.25)</f>
        <v>0.72647481558723948</v>
      </c>
      <c r="P5" s="15">
        <f t="shared" ref="P5:S10" si="0">$N5^(J5^0.25)</f>
        <v>0.74500340660069087</v>
      </c>
      <c r="Q5" s="15">
        <f t="shared" si="0"/>
        <v>0.73847996760702084</v>
      </c>
      <c r="R5" s="15">
        <f t="shared" si="0"/>
        <v>0.74632240383830883</v>
      </c>
      <c r="S5" s="15">
        <f t="shared" si="0"/>
        <v>0.73735973677782451</v>
      </c>
      <c r="T5" s="18">
        <f t="shared" ref="T5:X10" si="1">O5/$O5</f>
        <v>1</v>
      </c>
      <c r="U5" s="18">
        <f t="shared" si="1"/>
        <v>1.025504794682351</v>
      </c>
      <c r="V5" s="18">
        <f t="shared" si="1"/>
        <v>1.0165252143119057</v>
      </c>
      <c r="W5" s="183">
        <f t="shared" si="1"/>
        <v>1.0273204078451443</v>
      </c>
      <c r="X5" s="183">
        <f t="shared" si="1"/>
        <v>1.0149832051394463</v>
      </c>
      <c r="Y5" s="269">
        <f>1-Z5</f>
        <v>-2.1254604963916179E-4</v>
      </c>
      <c r="Z5" s="269">
        <f t="shared" ref="Z5:Z10" si="2">SUM(O5:S5)/SUM(O22:S22)</f>
        <v>1.0002125460496392</v>
      </c>
      <c r="AA5" s="269">
        <v>1</v>
      </c>
      <c r="AB5" s="17">
        <f>Z5*AA5*GBDNZ!E224/($T5+$U5+$X5+V5+W5)</f>
        <v>80.184321759384417</v>
      </c>
      <c r="AC5" s="16">
        <f t="shared" ref="AC5:AF10" si="3">$AB5*U5</f>
        <v>82.229406422601087</v>
      </c>
      <c r="AD5" s="16">
        <f t="shared" si="3"/>
        <v>81.509384860913045</v>
      </c>
      <c r="AE5" s="16">
        <f t="shared" si="3"/>
        <v>82.37499013263708</v>
      </c>
      <c r="AF5" s="16">
        <f t="shared" si="3"/>
        <v>81.385739901272643</v>
      </c>
      <c r="AG5" s="17">
        <f>Z5*AA5*GBDNZ!F224/($T5+$U5+$X5+V5+W5)</f>
        <v>5160.0592579929744</v>
      </c>
      <c r="AH5" s="16">
        <f t="shared" ref="AH5:AK10" si="4">$AG5*U5</f>
        <v>5291.6655099168493</v>
      </c>
      <c r="AI5" s="16">
        <f t="shared" si="4"/>
        <v>5245.3303430934411</v>
      </c>
      <c r="AJ5" s="16">
        <f t="shared" si="4"/>
        <v>5301.0341814264557</v>
      </c>
      <c r="AK5" s="16">
        <f t="shared" si="4"/>
        <v>5237.3734843871825</v>
      </c>
      <c r="AL5" s="17">
        <f t="shared" ref="AL5:AP10" si="5">AL22</f>
        <v>8687.7104557742841</v>
      </c>
      <c r="AM5" s="17">
        <f t="shared" si="5"/>
        <v>8908.8020880171352</v>
      </c>
      <c r="AN5" s="17">
        <f t="shared" si="5"/>
        <v>8830.3311255742774</v>
      </c>
      <c r="AO5" s="17">
        <f t="shared" si="5"/>
        <v>8922.9194556209259</v>
      </c>
      <c r="AP5" s="17">
        <f t="shared" si="5"/>
        <v>8813.2994200133762</v>
      </c>
      <c r="AQ5" s="17">
        <f>AB5+AC5+AF5+AD5+AE5-AD22-AE22-AB22-AC22-AF22</f>
        <v>8.6633176808277312E-2</v>
      </c>
      <c r="AR5" s="17">
        <f>AG5+AH5+AK5+AI5+AJ5-AI22-AJ22-AH22-AK22-AG22</f>
        <v>5.5750590168981944</v>
      </c>
      <c r="AS5" s="17">
        <f>AL5+AM5+AP5-AL22+AN5+AO5-AN22-AO22-AM22-AP22</f>
        <v>0</v>
      </c>
      <c r="AT5" s="17">
        <f t="shared" ref="AT5:AT10" si="6">AR5+AS5</f>
        <v>5.5750590168981944</v>
      </c>
      <c r="AU5" s="22">
        <f>AT5/GBDNZ!H224</f>
        <v>7.9199110081188941E-5</v>
      </c>
      <c r="AV5" s="22"/>
      <c r="AW5" s="22"/>
      <c r="AX5" s="22"/>
    </row>
    <row r="6" spans="1:50" s="13" customFormat="1" ht="13" x14ac:dyDescent="0.3">
      <c r="A6" s="20">
        <v>1</v>
      </c>
      <c r="B6" s="20">
        <v>1</v>
      </c>
      <c r="C6" s="20" t="s">
        <v>38</v>
      </c>
      <c r="D6" s="17">
        <f>Scenario!AN22</f>
        <v>0.24273184972454737</v>
      </c>
      <c r="E6" s="17">
        <f>Scenario!AO22</f>
        <v>0.57883141192595211</v>
      </c>
      <c r="F6" s="17">
        <f>Scenario!AP22</f>
        <v>1.0567097687478921</v>
      </c>
      <c r="G6" s="17">
        <f>Scenario!AQ22</f>
        <v>1.9291204871757561</v>
      </c>
      <c r="H6" s="17">
        <f>Scenario!AR22</f>
        <v>4.600284374029961</v>
      </c>
      <c r="I6" s="17">
        <f>IF((D6+'Non travel METs'!C6)&gt;2.5,(D6+'Non travel METs'!C6),0.1)</f>
        <v>51.492731849724549</v>
      </c>
      <c r="J6" s="17">
        <f>IF((E6+'Non travel METs'!D6)&gt;2.5,(E6+'Non travel METs'!D6),0.1)</f>
        <v>51.828831411925954</v>
      </c>
      <c r="K6" s="17">
        <f>IF((F6+'Non travel METs'!E6)&gt;2.5,(F6+'Non travel METs'!E6),0.1)</f>
        <v>65.806709768747893</v>
      </c>
      <c r="L6" s="17">
        <f>IF((G6+'Non travel METs'!F6)&gt;2.5,(G6+'Non travel METs'!F6),0.1)</f>
        <v>48.054120487175759</v>
      </c>
      <c r="M6" s="17">
        <f>IF((H6+'Non travel METs'!G6)&gt;2.5,(H6+'Non travel METs'!G6),0.1)</f>
        <v>49.400284374029958</v>
      </c>
      <c r="N6" s="19">
        <f>'Phy activity RRs'!$O$4</f>
        <v>0.89073615217571622</v>
      </c>
      <c r="O6" s="15">
        <f t="shared" ref="O6:O35" si="7">$N6^(I6^0.25)</f>
        <v>0.73348124532554715</v>
      </c>
      <c r="P6" s="15">
        <f t="shared" si="0"/>
        <v>0.73311126604697963</v>
      </c>
      <c r="Q6" s="15">
        <f t="shared" si="0"/>
        <v>0.71924407986463124</v>
      </c>
      <c r="R6" s="15">
        <f t="shared" si="0"/>
        <v>0.73738597097354452</v>
      </c>
      <c r="S6" s="15">
        <f t="shared" si="0"/>
        <v>0.73583063711907337</v>
      </c>
      <c r="T6" s="18">
        <f t="shared" si="1"/>
        <v>1</v>
      </c>
      <c r="U6" s="18">
        <f t="shared" si="1"/>
        <v>0.9994955845416289</v>
      </c>
      <c r="V6" s="18">
        <f t="shared" si="1"/>
        <v>0.98058959850487126</v>
      </c>
      <c r="W6" s="183">
        <f t="shared" si="1"/>
        <v>1.0053235521329034</v>
      </c>
      <c r="X6" s="183">
        <f t="shared" si="1"/>
        <v>1.0032030700287142</v>
      </c>
      <c r="Y6" s="203">
        <f t="shared" ref="Y6:Y18" si="8">1-Z6</f>
        <v>-8.2804472279374153E-5</v>
      </c>
      <c r="Z6" s="269">
        <f t="shared" si="2"/>
        <v>1.0000828044722794</v>
      </c>
      <c r="AA6" s="269">
        <f>'Inflammatory HD'!F6</f>
        <v>1</v>
      </c>
      <c r="AB6" s="17">
        <f>Z6*AA6*GBDNZ!E226/($T6+$U6+$X6+V6+W6)</f>
        <v>100.4930578599804</v>
      </c>
      <c r="AC6" s="16">
        <f t="shared" si="3"/>
        <v>100.44236760813683</v>
      </c>
      <c r="AD6" s="16">
        <f t="shared" si="3"/>
        <v>98.54244725944497</v>
      </c>
      <c r="AE6" s="16">
        <f t="shared" si="3"/>
        <v>101.02803789249288</v>
      </c>
      <c r="AF6" s="16">
        <f t="shared" si="3"/>
        <v>100.81494416170554</v>
      </c>
      <c r="AG6" s="17">
        <f>Z6*AA6*GBDNZ!F226/($T6+$U6+$X6+V6+W6)</f>
        <v>4872.3770266112133</v>
      </c>
      <c r="AH6" s="16">
        <f t="shared" si="4"/>
        <v>4869.9193243199788</v>
      </c>
      <c r="AI6" s="16">
        <f t="shared" si="4"/>
        <v>4777.8022322890483</v>
      </c>
      <c r="AJ6" s="16">
        <f t="shared" si="4"/>
        <v>4898.3153797235391</v>
      </c>
      <c r="AK6" s="16">
        <f t="shared" si="4"/>
        <v>4887.9835914337473</v>
      </c>
      <c r="AL6" s="17">
        <f t="shared" si="5"/>
        <v>9029.5900153728053</v>
      </c>
      <c r="AM6" s="17">
        <f t="shared" si="5"/>
        <v>9024.8818622227445</v>
      </c>
      <c r="AN6" s="17">
        <f t="shared" si="5"/>
        <v>8854.0426023685268</v>
      </c>
      <c r="AO6" s="17">
        <f t="shared" si="5"/>
        <v>9076.8685383022894</v>
      </c>
      <c r="AP6" s="17">
        <f t="shared" si="5"/>
        <v>9056.6092477336369</v>
      </c>
      <c r="AQ6" s="17">
        <f t="shared" ref="AQ6:AQ18" si="9">AB6+AC6+AF6+AD6+AE6-AD23-AE23-AB23-AC23-AF23</f>
        <v>4.1508171760710866E-2</v>
      </c>
      <c r="AR6" s="17">
        <f t="shared" ref="AR6:AR18" si="10">AG6+AH6+AK6+AI6+AJ6-AI23-AJ23-AH23-AK23-AG23</f>
        <v>2.012511777529653</v>
      </c>
      <c r="AS6" s="17">
        <f t="shared" ref="AS6:AS18" si="11">AL6+AM6+AP6-AL23+AN6+AO6-AN23-AO23-AM23-AP23</f>
        <v>0</v>
      </c>
      <c r="AT6" s="17">
        <f t="shared" si="6"/>
        <v>2.012511777529653</v>
      </c>
      <c r="AU6" s="22">
        <f>AT6/GBDNZ!H226</f>
        <v>2.9021152302767266E-5</v>
      </c>
      <c r="AV6" s="22"/>
      <c r="AW6" s="22"/>
      <c r="AX6" s="22"/>
    </row>
    <row r="7" spans="1:50" s="13" customFormat="1" ht="13" x14ac:dyDescent="0.3">
      <c r="A7" s="20">
        <v>1</v>
      </c>
      <c r="B7" s="20">
        <v>1</v>
      </c>
      <c r="C7" s="20" t="s">
        <v>37</v>
      </c>
      <c r="D7" s="17">
        <f>Scenario!AN23</f>
        <v>0.44101223863405448</v>
      </c>
      <c r="E7" s="17">
        <f>Scenario!AO23</f>
        <v>1.0516614818156649</v>
      </c>
      <c r="F7" s="17">
        <f>Scenario!AP23</f>
        <v>1.9199043769114967</v>
      </c>
      <c r="G7" s="17">
        <f>Scenario!AQ23</f>
        <v>3.5049613209376891</v>
      </c>
      <c r="H7" s="17">
        <f>Scenario!AR23</f>
        <v>8.3581191032263789</v>
      </c>
      <c r="I7" s="17">
        <f>IF((D7+'Non travel METs'!C7)&gt;2.5,(D7+'Non travel METs'!C7),0.1)</f>
        <v>58.71601223863405</v>
      </c>
      <c r="J7" s="17">
        <f>IF((E7+'Non travel METs'!D7)&gt;2.5,(E7+'Non travel METs'!D7),0.1)</f>
        <v>62.551661481815664</v>
      </c>
      <c r="K7" s="17">
        <f>IF((F7+'Non travel METs'!E7)&gt;2.5,(F7+'Non travel METs'!E7),0.1)</f>
        <v>55.644904376911498</v>
      </c>
      <c r="L7" s="17">
        <f>IF((G7+'Non travel METs'!F7)&gt;2.5,(G7+'Non travel METs'!F7),0.1)</f>
        <v>55.704961320937691</v>
      </c>
      <c r="M7" s="17">
        <f>IF((H7+'Non travel METs'!G7)&gt;2.5,(H7+'Non travel METs'!G7),0.1)</f>
        <v>55.058119103226382</v>
      </c>
      <c r="N7" s="19">
        <f>'Phy activity RRs'!$O$4</f>
        <v>0.89073615217571622</v>
      </c>
      <c r="O7" s="15">
        <f t="shared" si="7"/>
        <v>0.7259355556036492</v>
      </c>
      <c r="P7" s="15">
        <f t="shared" si="0"/>
        <v>0.72223738545791316</v>
      </c>
      <c r="Q7" s="15">
        <f t="shared" si="0"/>
        <v>0.72904407696397189</v>
      </c>
      <c r="R7" s="15">
        <f t="shared" si="0"/>
        <v>0.72898193950651657</v>
      </c>
      <c r="S7" s="15">
        <f t="shared" si="0"/>
        <v>0.72965413325470552</v>
      </c>
      <c r="T7" s="18">
        <f t="shared" si="1"/>
        <v>1</v>
      </c>
      <c r="U7" s="18">
        <f t="shared" si="1"/>
        <v>0.99490564952055438</v>
      </c>
      <c r="V7" s="18">
        <f t="shared" si="1"/>
        <v>1.0042820899683551</v>
      </c>
      <c r="W7" s="183">
        <f t="shared" si="1"/>
        <v>1.0041964935858998</v>
      </c>
      <c r="X7" s="183">
        <f t="shared" si="1"/>
        <v>1.0051224624863073</v>
      </c>
      <c r="Y7" s="203">
        <f t="shared" si="8"/>
        <v>-3.6728397271978963E-5</v>
      </c>
      <c r="Z7" s="269">
        <f t="shared" si="2"/>
        <v>1.000036728397272</v>
      </c>
      <c r="AA7" s="269">
        <f>'Inflammatory HD'!F7</f>
        <v>1</v>
      </c>
      <c r="AB7" s="17">
        <f>Z7*AA7*GBDNZ!E228/($T7+$U7+$X7+V7+W7)</f>
        <v>329.06721936064497</v>
      </c>
      <c r="AC7" s="16">
        <f t="shared" si="3"/>
        <v>327.39083561392522</v>
      </c>
      <c r="AD7" s="16">
        <f t="shared" si="3"/>
        <v>330.47631479958369</v>
      </c>
      <c r="AE7" s="16">
        <f t="shared" si="3"/>
        <v>330.4481478360218</v>
      </c>
      <c r="AF7" s="16">
        <f t="shared" si="3"/>
        <v>330.75285384729335</v>
      </c>
      <c r="AG7" s="17">
        <f>Z7*AA7*GBDNZ!F228/($T7+$U7+$X7+V7+W7)</f>
        <v>11250.461263044272</v>
      </c>
      <c r="AH7" s="16">
        <f t="shared" si="4"/>
        <v>11193.147470314898</v>
      </c>
      <c r="AI7" s="16">
        <f t="shared" si="4"/>
        <v>11298.63675035812</v>
      </c>
      <c r="AJ7" s="16">
        <f t="shared" si="4"/>
        <v>11297.673751573051</v>
      </c>
      <c r="AK7" s="16">
        <f t="shared" si="4"/>
        <v>11308.091328817869</v>
      </c>
      <c r="AL7" s="17">
        <f t="shared" si="5"/>
        <v>12292.981161685164</v>
      </c>
      <c r="AM7" s="17">
        <f t="shared" si="5"/>
        <v>12230.263952601212</v>
      </c>
      <c r="AN7" s="17">
        <f t="shared" si="5"/>
        <v>12345.377579375698</v>
      </c>
      <c r="AO7" s="17">
        <f t="shared" si="5"/>
        <v>12344.112820876384</v>
      </c>
      <c r="AP7" s="17">
        <f t="shared" si="5"/>
        <v>12354.948161461547</v>
      </c>
      <c r="AQ7" s="17">
        <f t="shared" si="9"/>
        <v>6.0531147468623203E-2</v>
      </c>
      <c r="AR7" s="17">
        <f t="shared" si="10"/>
        <v>2.0694961082117516</v>
      </c>
      <c r="AS7" s="17">
        <f t="shared" si="11"/>
        <v>0</v>
      </c>
      <c r="AT7" s="17">
        <f t="shared" si="6"/>
        <v>2.0694961082117516</v>
      </c>
      <c r="AU7" s="22">
        <f>AT7/GBDNZ!H228</f>
        <v>1.7550949796703695E-5</v>
      </c>
      <c r="AV7" s="22"/>
      <c r="AW7" s="22"/>
      <c r="AX7" s="22"/>
    </row>
    <row r="8" spans="1:50" s="13" customFormat="1" ht="13" x14ac:dyDescent="0.3">
      <c r="A8" s="20">
        <v>1</v>
      </c>
      <c r="B8" s="20">
        <v>1</v>
      </c>
      <c r="C8" s="20" t="s">
        <v>36</v>
      </c>
      <c r="D8" s="17">
        <f>Scenario!AN24</f>
        <v>0.39571511265083242</v>
      </c>
      <c r="E8" s="17">
        <f>Scenario!AO24</f>
        <v>0.94364352117798989</v>
      </c>
      <c r="F8" s="17">
        <f>Scenario!AP24</f>
        <v>1.7227076943294906</v>
      </c>
      <c r="G8" s="17">
        <f>Scenario!AQ24</f>
        <v>3.1449607118557816</v>
      </c>
      <c r="H8" s="17">
        <f>Scenario!AR24</f>
        <v>7.4996423063595765</v>
      </c>
      <c r="I8" s="17">
        <f>IF((D8+'Non travel METs'!C8)&gt;2.5,(D8+'Non travel METs'!C8),0.1)</f>
        <v>41.395715112650834</v>
      </c>
      <c r="J8" s="17">
        <f>IF((E8+'Non travel METs'!D8)&gt;2.5,(E8+'Non travel METs'!D8),0.1)</f>
        <v>32.193643521177989</v>
      </c>
      <c r="K8" s="17">
        <f>IF((F8+'Non travel METs'!E8)&gt;2.5,(F8+'Non travel METs'!E8),0.1)</f>
        <v>45.806041027662793</v>
      </c>
      <c r="L8" s="17">
        <f>IF((G8+'Non travel METs'!F8)&gt;2.5,(G8+'Non travel METs'!F8),0.1)</f>
        <v>45.644960711855781</v>
      </c>
      <c r="M8" s="17">
        <f>IF((H8+'Non travel METs'!G8)&gt;2.5,(H8+'Non travel METs'!G8),0.1)</f>
        <v>40.299642306359573</v>
      </c>
      <c r="N8" s="19">
        <f>'Phy activity RRs'!$O$4</f>
        <v>0.89073615217571622</v>
      </c>
      <c r="O8" s="15">
        <f t="shared" si="7"/>
        <v>0.74565403338979097</v>
      </c>
      <c r="P8" s="15">
        <f t="shared" si="0"/>
        <v>0.75910542155665706</v>
      </c>
      <c r="Q8" s="15">
        <f t="shared" si="0"/>
        <v>0.7400655105148507</v>
      </c>
      <c r="R8" s="15">
        <f t="shared" si="0"/>
        <v>0.74026164381760462</v>
      </c>
      <c r="S8" s="15">
        <f t="shared" si="0"/>
        <v>0.74711871845596456</v>
      </c>
      <c r="T8" s="18">
        <f t="shared" si="1"/>
        <v>1</v>
      </c>
      <c r="U8" s="18">
        <f t="shared" si="1"/>
        <v>1.0180397175694407</v>
      </c>
      <c r="V8" s="18">
        <f t="shared" si="1"/>
        <v>0.99250520667133724</v>
      </c>
      <c r="W8" s="183">
        <f t="shared" si="1"/>
        <v>0.9927682419316205</v>
      </c>
      <c r="X8" s="183">
        <f t="shared" si="1"/>
        <v>1.0019642957733563</v>
      </c>
      <c r="Y8" s="203">
        <f t="shared" si="8"/>
        <v>-3.2666751937537875E-4</v>
      </c>
      <c r="Z8" s="269">
        <f t="shared" si="2"/>
        <v>1.0003266675193754</v>
      </c>
      <c r="AA8" s="269">
        <f>'Inflammatory HD'!F8</f>
        <v>1</v>
      </c>
      <c r="AB8" s="17">
        <f>Z8*AA8*GBDNZ!E230/($T8+$U8+$X8+V8+W8)</f>
        <v>541.9169038823909</v>
      </c>
      <c r="AC8" s="16">
        <f t="shared" si="3"/>
        <v>551.69293177453494</v>
      </c>
      <c r="AD8" s="16">
        <f t="shared" si="3"/>
        <v>537.85534868648358</v>
      </c>
      <c r="AE8" s="16">
        <f t="shared" si="3"/>
        <v>537.99789194034815</v>
      </c>
      <c r="AF8" s="16">
        <f t="shared" si="3"/>
        <v>542.98138896619741</v>
      </c>
      <c r="AG8" s="17">
        <f>Z8*AA8*GBDNZ!F230/($T8+$U8+$X8+V8+W8)</f>
        <v>12753.211675298138</v>
      </c>
      <c r="AH8" s="16">
        <f t="shared" si="4"/>
        <v>12983.276012023811</v>
      </c>
      <c r="AI8" s="16">
        <f t="shared" si="4"/>
        <v>12657.628989515089</v>
      </c>
      <c r="AJ8" s="16">
        <f t="shared" si="4"/>
        <v>12660.983533867549</v>
      </c>
      <c r="AK8" s="16">
        <f t="shared" si="4"/>
        <v>12778.262755088645</v>
      </c>
      <c r="AL8" s="17">
        <f t="shared" si="5"/>
        <v>8408.3981551142788</v>
      </c>
      <c r="AM8" s="17">
        <f t="shared" si="5"/>
        <v>8559.3016090008441</v>
      </c>
      <c r="AN8" s="17">
        <f t="shared" si="5"/>
        <v>8344.1691735442018</v>
      </c>
      <c r="AO8" s="17">
        <f t="shared" si="5"/>
        <v>8345.0773996302287</v>
      </c>
      <c r="AP8" s="17">
        <f t="shared" si="5"/>
        <v>8417.7948337104517</v>
      </c>
      <c r="AQ8" s="17">
        <f t="shared" si="9"/>
        <v>0.88577814995539939</v>
      </c>
      <c r="AR8" s="17">
        <f t="shared" si="10"/>
        <v>20.84547679321804</v>
      </c>
      <c r="AS8" s="17">
        <f t="shared" si="11"/>
        <v>0</v>
      </c>
      <c r="AT8" s="17">
        <f t="shared" si="6"/>
        <v>20.84547679321804</v>
      </c>
      <c r="AU8" s="22">
        <f>AT8/GBDNZ!H230</f>
        <v>1.9686482639006848E-4</v>
      </c>
      <c r="AV8" s="22"/>
      <c r="AW8" s="22"/>
      <c r="AX8" s="22"/>
    </row>
    <row r="9" spans="1:50" s="13" customFormat="1" ht="13" x14ac:dyDescent="0.3">
      <c r="A9" s="20">
        <v>1</v>
      </c>
      <c r="B9" s="20">
        <v>1</v>
      </c>
      <c r="C9" s="20" t="s">
        <v>35</v>
      </c>
      <c r="D9" s="17">
        <f>Scenario!AN25</f>
        <v>0.48300262725816756</v>
      </c>
      <c r="E9" s="17">
        <f>Scenario!AO25</f>
        <v>1.1517940188609537</v>
      </c>
      <c r="F9" s="17">
        <f>Scenario!AP25</f>
        <v>2.1027054963483303</v>
      </c>
      <c r="G9" s="17">
        <f>Scenario!AQ25</f>
        <v>3.8386815107321977</v>
      </c>
      <c r="H9" s="17">
        <f>Scenario!AR25</f>
        <v>9.1539262000954498</v>
      </c>
      <c r="I9" s="17">
        <f>IF((D9+'Non travel METs'!C9)&gt;2.5,(D9+'Non travel METs'!C9),0.1)</f>
        <v>4.858002627258168</v>
      </c>
      <c r="J9" s="17">
        <f>IF((E9+'Non travel METs'!D9)&gt;2.5,(E9+'Non travel METs'!D9),0.1)</f>
        <v>6.1517940188609535</v>
      </c>
      <c r="K9" s="17">
        <f>IF((F9+'Non travel METs'!E9)&gt;2.5,(F9+'Non travel METs'!E9),0.1)</f>
        <v>10.43603882968166</v>
      </c>
      <c r="L9" s="17">
        <f>IF((G9+'Non travel METs'!F9)&gt;2.5,(G9+'Non travel METs'!F9),0.1)</f>
        <v>7.5886815107321972</v>
      </c>
      <c r="M9" s="17">
        <f>IF((H9+'Non travel METs'!G9)&gt;2.5,(H9+'Non travel METs'!G9),0.1)</f>
        <v>22.278926200095448</v>
      </c>
      <c r="N9" s="19">
        <f>'Phy activity RRs'!$O$4</f>
        <v>0.89073615217571622</v>
      </c>
      <c r="O9" s="15">
        <f t="shared" si="7"/>
        <v>0.84216391271328783</v>
      </c>
      <c r="P9" s="15">
        <f t="shared" si="0"/>
        <v>0.83341303212078199</v>
      </c>
      <c r="Q9" s="15">
        <f t="shared" si="0"/>
        <v>0.8122341486388337</v>
      </c>
      <c r="R9" s="15">
        <f t="shared" si="0"/>
        <v>0.8252703549567818</v>
      </c>
      <c r="S9" s="15">
        <f t="shared" si="0"/>
        <v>0.77772562963536418</v>
      </c>
      <c r="T9" s="18">
        <f t="shared" si="1"/>
        <v>1</v>
      </c>
      <c r="U9" s="18">
        <f t="shared" si="1"/>
        <v>0.98960905298790092</v>
      </c>
      <c r="V9" s="18">
        <f t="shared" si="1"/>
        <v>0.96446088033144728</v>
      </c>
      <c r="W9" s="183">
        <f t="shared" si="1"/>
        <v>0.9799402972491682</v>
      </c>
      <c r="X9" s="183">
        <f t="shared" si="1"/>
        <v>0.92348486784441275</v>
      </c>
      <c r="Y9" s="203">
        <f t="shared" si="8"/>
        <v>-8.9859288334581677E-4</v>
      </c>
      <c r="Z9" s="269">
        <f t="shared" si="2"/>
        <v>1.0008985928833458</v>
      </c>
      <c r="AA9" s="269">
        <f>'Inflammatory HD'!F9</f>
        <v>1</v>
      </c>
      <c r="AB9" s="17">
        <f>Z9*AA9*GBDNZ!E232/($T9+$U9+$X9+V9+W9)</f>
        <v>794.8888539304387</v>
      </c>
      <c r="AC9" s="16">
        <f t="shared" si="3"/>
        <v>786.62920596873937</v>
      </c>
      <c r="AD9" s="16">
        <f t="shared" si="3"/>
        <v>766.63920382740616</v>
      </c>
      <c r="AE9" s="16">
        <f t="shared" si="3"/>
        <v>778.9436198006448</v>
      </c>
      <c r="AF9" s="16">
        <f t="shared" si="3"/>
        <v>734.06782822294792</v>
      </c>
      <c r="AG9" s="17">
        <f>Z9*AA9*GBDNZ!F232/($T9+$U9+$X9+V9+W9)</f>
        <v>11978.787610964137</v>
      </c>
      <c r="AH9" s="16">
        <f t="shared" si="4"/>
        <v>11854.316663629419</v>
      </c>
      <c r="AI9" s="16">
        <f t="shared" si="4"/>
        <v>11553.072044573906</v>
      </c>
      <c r="AJ9" s="16">
        <f t="shared" si="4"/>
        <v>11738.49669217285</v>
      </c>
      <c r="AK9" s="16">
        <f t="shared" si="4"/>
        <v>11062.229093847503</v>
      </c>
      <c r="AL9" s="17">
        <f t="shared" si="5"/>
        <v>5741.1763599499682</v>
      </c>
      <c r="AM9" s="17">
        <f t="shared" si="5"/>
        <v>5680.0069380201921</v>
      </c>
      <c r="AN9" s="17">
        <f t="shared" si="5"/>
        <v>5535.0382251611663</v>
      </c>
      <c r="AO9" s="17">
        <f t="shared" si="5"/>
        <v>5619.1815490936588</v>
      </c>
      <c r="AP9" s="17">
        <f t="shared" si="5"/>
        <v>5295.1505447750096</v>
      </c>
      <c r="AQ9" s="17">
        <f t="shared" si="9"/>
        <v>3.4665037501767983</v>
      </c>
      <c r="AR9" s="17">
        <f t="shared" si="10"/>
        <v>52.239394187823564</v>
      </c>
      <c r="AS9" s="17">
        <f t="shared" si="11"/>
        <v>0</v>
      </c>
      <c r="AT9" s="17">
        <f t="shared" si="6"/>
        <v>52.239394187823564</v>
      </c>
      <c r="AU9" s="22">
        <f>AT9/GBDNZ!H232</f>
        <v>6.0739797442040762E-4</v>
      </c>
      <c r="AV9" s="22"/>
      <c r="AW9" s="22"/>
      <c r="AX9" s="22"/>
    </row>
    <row r="10" spans="1:50" s="13" customFormat="1" ht="13" x14ac:dyDescent="0.3">
      <c r="A10" s="20">
        <v>1</v>
      </c>
      <c r="B10" s="20">
        <v>1</v>
      </c>
      <c r="C10" s="20" t="s">
        <v>34</v>
      </c>
      <c r="D10" s="17">
        <f>Scenario!AN26</f>
        <v>0.23447740333822151</v>
      </c>
      <c r="E10" s="17">
        <f>Scenario!AO26</f>
        <v>0.55914741552463088</v>
      </c>
      <c r="F10" s="17">
        <f>Scenario!AP26</f>
        <v>1.0207748300823047</v>
      </c>
      <c r="G10" s="17">
        <f>Scenario!AQ26</f>
        <v>1.8635179646710851</v>
      </c>
      <c r="H10" s="17">
        <f>Scenario!AR26</f>
        <v>4.4438450737470596</v>
      </c>
      <c r="I10" s="17">
        <f>IF((D10+'Non travel METs'!C10)&gt;2.5,(D10+'Non travel METs'!C10),0.1)</f>
        <v>0.1</v>
      </c>
      <c r="J10" s="17">
        <f>IF((E10+'Non travel METs'!D10)&gt;2.5,(E10+'Non travel METs'!D10),0.1)</f>
        <v>10.559147415524631</v>
      </c>
      <c r="K10" s="17">
        <f>IF((F10+'Non travel METs'!E10)&gt;2.5,(F10+'Non travel METs'!E10),0.1)</f>
        <v>4.7707748300823045</v>
      </c>
      <c r="L10" s="17">
        <f>IF((G10+'Non travel METs'!F10)&gt;2.5,(G10+'Non travel METs'!F10),0.1)</f>
        <v>7.0718512980044155</v>
      </c>
      <c r="M10" s="17">
        <f>IF((H10+'Non travel METs'!G10)&gt;2.5,(H10+'Non travel METs'!G10),0.1)</f>
        <v>4.4438450737470596</v>
      </c>
      <c r="N10" s="19">
        <f>'Phy activity RRs'!$O$4</f>
        <v>0.89073615217571622</v>
      </c>
      <c r="O10" s="15">
        <f t="shared" si="7"/>
        <v>0.93700483239712185</v>
      </c>
      <c r="P10" s="15">
        <f t="shared" si="0"/>
        <v>0.81173833018862473</v>
      </c>
      <c r="Q10" s="15">
        <f t="shared" si="0"/>
        <v>0.84281797901992606</v>
      </c>
      <c r="R10" s="15">
        <f t="shared" si="0"/>
        <v>0.82804528022312907</v>
      </c>
      <c r="S10" s="15">
        <f t="shared" si="0"/>
        <v>0.84535705324865751</v>
      </c>
      <c r="T10" s="18">
        <f t="shared" si="1"/>
        <v>1</v>
      </c>
      <c r="U10" s="18">
        <f t="shared" si="1"/>
        <v>0.86631178636717365</v>
      </c>
      <c r="V10" s="18">
        <f t="shared" si="1"/>
        <v>0.89948093102546833</v>
      </c>
      <c r="W10" s="183">
        <f t="shared" si="1"/>
        <v>0.88371505844292864</v>
      </c>
      <c r="X10" s="183">
        <f t="shared" si="1"/>
        <v>0.90219070811619662</v>
      </c>
      <c r="Y10" s="203">
        <f t="shared" si="8"/>
        <v>-9.2367118691516481E-4</v>
      </c>
      <c r="Z10" s="269">
        <f t="shared" si="2"/>
        <v>1.0009236711869152</v>
      </c>
      <c r="AA10" s="269">
        <f>'Inflammatory HD'!F10</f>
        <v>1</v>
      </c>
      <c r="AB10" s="17">
        <f>Z10*AA10*GBDNZ!E234/($T10+$U10+$X10+V10+W10)</f>
        <v>1709.7741170250686</v>
      </c>
      <c r="AC10" s="16">
        <f t="shared" si="3"/>
        <v>1481.1974696043442</v>
      </c>
      <c r="AD10" s="16">
        <f t="shared" si="3"/>
        <v>1537.9092146249568</v>
      </c>
      <c r="AE10" s="16">
        <f t="shared" si="3"/>
        <v>1510.9531337510152</v>
      </c>
      <c r="AF10" s="16">
        <f t="shared" si="3"/>
        <v>1542.5423213575914</v>
      </c>
      <c r="AG10" s="17">
        <f>Z10*AA10*GBDNZ!F234/($T10+$U10+$X10+V10+W10)</f>
        <v>11164.489445869895</v>
      </c>
      <c r="AH10" s="16">
        <f t="shared" si="4"/>
        <v>9671.9287957290053</v>
      </c>
      <c r="AI10" s="16">
        <f t="shared" si="4"/>
        <v>10042.245361195068</v>
      </c>
      <c r="AJ10" s="16">
        <f t="shared" si="4"/>
        <v>9866.2274431423739</v>
      </c>
      <c r="AK10" s="16">
        <f t="shared" si="4"/>
        <v>10072.498638925164</v>
      </c>
      <c r="AL10" s="17">
        <f t="shared" si="5"/>
        <v>5146.0461666498932</v>
      </c>
      <c r="AM10" s="17">
        <f t="shared" si="5"/>
        <v>4457.1582727082105</v>
      </c>
      <c r="AN10" s="17">
        <f t="shared" si="5"/>
        <v>4625.6605878493092</v>
      </c>
      <c r="AO10" s="17">
        <f t="shared" si="5"/>
        <v>4543.5552988577165</v>
      </c>
      <c r="AP10" s="17">
        <f t="shared" si="5"/>
        <v>4629.2147929348694</v>
      </c>
      <c r="AQ10" s="17">
        <f t="shared" si="9"/>
        <v>7.1817231629770504</v>
      </c>
      <c r="AR10" s="17">
        <f t="shared" si="10"/>
        <v>46.895242861506631</v>
      </c>
      <c r="AS10" s="17">
        <f t="shared" si="11"/>
        <v>0</v>
      </c>
      <c r="AT10" s="17">
        <f t="shared" si="6"/>
        <v>46.895242861506631</v>
      </c>
      <c r="AU10" s="22">
        <f>AT10/GBDNZ!H234</f>
        <v>6.3224883980588962E-4</v>
      </c>
      <c r="AV10" s="22"/>
      <c r="AW10" s="22"/>
      <c r="AX10" s="22"/>
    </row>
    <row r="11" spans="1:50" s="13" customFormat="1" ht="13" x14ac:dyDescent="0.3">
      <c r="A11" s="20">
        <v>1</v>
      </c>
      <c r="B11" s="20">
        <v>2</v>
      </c>
      <c r="C11" s="20" t="s">
        <v>2</v>
      </c>
      <c r="D11" s="17"/>
      <c r="E11" s="17"/>
      <c r="F11" s="17"/>
      <c r="G11" s="17"/>
      <c r="H11" s="17"/>
      <c r="I11" s="17"/>
      <c r="J11" s="17"/>
      <c r="K11" s="17"/>
      <c r="L11" s="17"/>
      <c r="M11" s="17"/>
      <c r="N11" s="19"/>
      <c r="O11" s="15"/>
      <c r="P11" s="15"/>
      <c r="Q11" s="15"/>
      <c r="R11" s="15"/>
      <c r="S11" s="15"/>
      <c r="T11" s="18"/>
      <c r="U11" s="18"/>
      <c r="V11" s="18"/>
      <c r="W11" s="183"/>
      <c r="X11" s="183"/>
      <c r="Y11" s="203"/>
      <c r="Z11" s="269"/>
      <c r="AA11" s="203"/>
      <c r="AB11" s="17"/>
      <c r="AC11" s="16"/>
      <c r="AD11" s="16"/>
      <c r="AE11" s="16"/>
      <c r="AF11" s="16"/>
      <c r="AG11" s="17"/>
      <c r="AH11" s="16"/>
      <c r="AI11" s="16"/>
      <c r="AJ11" s="16"/>
      <c r="AK11" s="16"/>
      <c r="AL11" s="17"/>
      <c r="AM11" s="17"/>
      <c r="AN11" s="17"/>
      <c r="AO11" s="17"/>
      <c r="AP11" s="17"/>
      <c r="AQ11" s="17"/>
      <c r="AR11" s="17"/>
      <c r="AS11" s="17"/>
      <c r="AT11" s="17"/>
      <c r="AU11" s="22"/>
      <c r="AV11" s="22"/>
      <c r="AW11" s="22"/>
      <c r="AX11" s="22"/>
    </row>
    <row r="12" spans="1:50" s="13" customFormat="1" ht="13" x14ac:dyDescent="0.3">
      <c r="A12" s="20">
        <v>1</v>
      </c>
      <c r="B12" s="20">
        <v>2</v>
      </c>
      <c r="C12" s="20" t="s">
        <v>40</v>
      </c>
      <c r="D12" s="17"/>
      <c r="E12" s="17"/>
      <c r="F12" s="17"/>
      <c r="G12" s="17"/>
      <c r="H12" s="17"/>
      <c r="I12" s="17"/>
      <c r="J12" s="17"/>
      <c r="K12" s="17"/>
      <c r="L12" s="17"/>
      <c r="M12" s="17"/>
      <c r="N12" s="19"/>
      <c r="O12" s="15"/>
      <c r="P12" s="15"/>
      <c r="Q12" s="15"/>
      <c r="R12" s="15"/>
      <c r="S12" s="15"/>
      <c r="T12" s="18"/>
      <c r="U12" s="18"/>
      <c r="V12" s="18"/>
      <c r="W12" s="183"/>
      <c r="X12" s="183"/>
      <c r="Y12" s="203"/>
      <c r="Z12" s="269"/>
      <c r="AA12" s="203"/>
      <c r="AB12" s="17"/>
      <c r="AC12" s="16"/>
      <c r="AD12" s="16"/>
      <c r="AE12" s="16"/>
      <c r="AF12" s="16"/>
      <c r="AG12" s="17"/>
      <c r="AH12" s="16"/>
      <c r="AI12" s="16"/>
      <c r="AJ12" s="16"/>
      <c r="AK12" s="16"/>
      <c r="AL12" s="17"/>
      <c r="AM12" s="17"/>
      <c r="AN12" s="17"/>
      <c r="AO12" s="17"/>
      <c r="AP12" s="17"/>
      <c r="AQ12" s="17"/>
      <c r="AR12" s="17"/>
      <c r="AS12" s="17"/>
      <c r="AT12" s="17"/>
      <c r="AU12" s="22"/>
      <c r="AV12" s="22"/>
      <c r="AW12" s="22"/>
      <c r="AX12" s="22"/>
    </row>
    <row r="13" spans="1:50" s="13" customFormat="1" ht="13" x14ac:dyDescent="0.3">
      <c r="A13" s="20">
        <v>1</v>
      </c>
      <c r="B13" s="20">
        <v>2</v>
      </c>
      <c r="C13" s="20" t="s">
        <v>39</v>
      </c>
      <c r="D13" s="17">
        <f>Scenario!AN29</f>
        <v>0.36317941114117153</v>
      </c>
      <c r="E13" s="17">
        <f>Scenario!AO29</f>
        <v>0.86605713906863857</v>
      </c>
      <c r="F13" s="17">
        <f>Scenario!AP29</f>
        <v>1.5810666461632132</v>
      </c>
      <c r="G13" s="17">
        <f>Scenario!AQ29</f>
        <v>2.8863820028064824</v>
      </c>
      <c r="H13" s="17">
        <f>Scenario!AR29</f>
        <v>6.8830216221648746</v>
      </c>
      <c r="I13" s="17">
        <f>IF((D13+'Non travel METs'!C13)&gt;2.5,(D13+'Non travel METs'!C13),0.1)</f>
        <v>9.2298460778078422</v>
      </c>
      <c r="J13" s="17">
        <f>IF((E13+'Non travel METs'!D13)&gt;2.5,(E13+'Non travel METs'!D13),0.1)</f>
        <v>25.466057139068639</v>
      </c>
      <c r="K13" s="17">
        <f>IF((F13+'Non travel METs'!E13)&gt;2.5,(F13+'Non travel METs'!E13),0.1)</f>
        <v>31.431066646163213</v>
      </c>
      <c r="L13" s="17">
        <f>IF((G13+'Non travel METs'!F13)&gt;2.5,(G13+'Non travel METs'!F13),0.1)</f>
        <v>33.286382002806484</v>
      </c>
      <c r="M13" s="17">
        <f>IF((H13+'Non travel METs'!G13)&gt;2.5,(H13+'Non travel METs'!G13),0.1)</f>
        <v>47.883021622164875</v>
      </c>
      <c r="N13" s="19">
        <f>'Phy activity RRs'!$O$4</f>
        <v>0.89073615217571622</v>
      </c>
      <c r="O13" s="15">
        <f t="shared" si="7"/>
        <v>0.8173581505496349</v>
      </c>
      <c r="P13" s="15">
        <f t="shared" ref="P13:P18" si="12">$N13^(J13^0.25)</f>
        <v>0.77110845389297356</v>
      </c>
      <c r="Q13" s="15">
        <f t="shared" ref="Q13:Q18" si="13">$N13^(K13^0.25)</f>
        <v>0.76035657300186021</v>
      </c>
      <c r="R13" s="15">
        <f t="shared" ref="R13:R18" si="14">$N13^(L13^0.25)</f>
        <v>0.7573542287868239</v>
      </c>
      <c r="S13" s="15">
        <f t="shared" ref="S13:S18" si="15">$N13^(M13^0.25)</f>
        <v>0.73758622598855894</v>
      </c>
      <c r="T13" s="18">
        <f t="shared" ref="T13:X18" si="16">O13/$O13</f>
        <v>1</v>
      </c>
      <c r="U13" s="18">
        <f t="shared" si="16"/>
        <v>0.94341562921277455</v>
      </c>
      <c r="V13" s="18">
        <f t="shared" si="16"/>
        <v>0.93026119882765734</v>
      </c>
      <c r="W13" s="183">
        <f t="shared" si="16"/>
        <v>0.92658796915102493</v>
      </c>
      <c r="X13" s="183">
        <f t="shared" si="16"/>
        <v>0.90240272944310507</v>
      </c>
      <c r="Y13" s="203">
        <f t="shared" si="8"/>
        <v>-3.0921718107701501E-4</v>
      </c>
      <c r="Z13" s="269">
        <f t="shared" ref="Z13:Z18" si="17">SUM(O13:S13)/SUM(O30:S30)</f>
        <v>1.000309217181077</v>
      </c>
      <c r="AA13" s="269">
        <f>'Inflammatory HD'!F13</f>
        <v>1</v>
      </c>
      <c r="AB13" s="17">
        <f>Z13*AA13*GBDNZ!E225/($T13+$U13+$X13+V13+W13)</f>
        <v>35.742092482842082</v>
      </c>
      <c r="AC13" s="16">
        <f t="shared" ref="AC13:AF18" si="18">$AB13*U13</f>
        <v>33.719648669081643</v>
      </c>
      <c r="AD13" s="16">
        <f t="shared" si="18"/>
        <v>33.249481801697677</v>
      </c>
      <c r="AE13" s="16">
        <f t="shared" si="18"/>
        <v>33.118192886884756</v>
      </c>
      <c r="AF13" s="16">
        <f t="shared" si="18"/>
        <v>32.25376181252458</v>
      </c>
      <c r="AG13" s="17">
        <f>Z13*AA13*GBDNZ!F225/($T13+$U13+$X13+V13+W13)</f>
        <v>2303.9595365398395</v>
      </c>
      <c r="AH13" s="16">
        <f t="shared" ref="AH13:AK18" si="19">$AG13*U13</f>
        <v>2173.5914358455052</v>
      </c>
      <c r="AI13" s="16">
        <f t="shared" si="19"/>
        <v>2143.2841605119647</v>
      </c>
      <c r="AJ13" s="16">
        <f t="shared" si="19"/>
        <v>2134.8211879685864</v>
      </c>
      <c r="AK13" s="16">
        <f t="shared" si="19"/>
        <v>2079.0993743000226</v>
      </c>
      <c r="AL13" s="17">
        <f t="shared" ref="AL13:AP18" si="20">AL30</f>
        <v>10515.277222764307</v>
      </c>
      <c r="AM13" s="17">
        <f t="shared" si="20"/>
        <v>9920.1597830790761</v>
      </c>
      <c r="AN13" s="17">
        <f t="shared" si="20"/>
        <v>9781.0761944747992</v>
      </c>
      <c r="AO13" s="17">
        <f t="shared" si="20"/>
        <v>9740.8857818529777</v>
      </c>
      <c r="AP13" s="17">
        <f t="shared" si="20"/>
        <v>9483.827754828837</v>
      </c>
      <c r="AQ13" s="17">
        <f t="shared" si="9"/>
        <v>5.1958140030727407E-2</v>
      </c>
      <c r="AR13" s="17">
        <f t="shared" si="10"/>
        <v>3.3492569659201763</v>
      </c>
      <c r="AS13" s="17">
        <f t="shared" si="11"/>
        <v>0</v>
      </c>
      <c r="AT13" s="17">
        <f t="shared" ref="AT13:AT18" si="21">AR13+AS13</f>
        <v>3.3492569659201763</v>
      </c>
      <c r="AU13" s="22">
        <f>AT13/GBDNZ!H225</f>
        <v>5.5568452703828242E-5</v>
      </c>
      <c r="AV13" s="22"/>
      <c r="AW13" s="22"/>
      <c r="AX13" s="22"/>
    </row>
    <row r="14" spans="1:50" s="13" customFormat="1" ht="13" x14ac:dyDescent="0.3">
      <c r="A14" s="20">
        <v>1</v>
      </c>
      <c r="B14" s="20">
        <v>2</v>
      </c>
      <c r="C14" s="20" t="s">
        <v>38</v>
      </c>
      <c r="D14" s="17">
        <f>Scenario!AN30</f>
        <v>0.30288827772466836</v>
      </c>
      <c r="E14" s="17">
        <f>Scenario!AO30</f>
        <v>0.72228366261017962</v>
      </c>
      <c r="F14" s="17">
        <f>Scenario!AP30</f>
        <v>1.3185949939165058</v>
      </c>
      <c r="G14" s="17">
        <f>Scenario!AQ30</f>
        <v>2.4072159568145346</v>
      </c>
      <c r="H14" s="17">
        <f>Scenario!AR30</f>
        <v>5.7403765211480957</v>
      </c>
      <c r="I14" s="17">
        <f>IF((D14+'Non travel METs'!C14)&gt;2.5,(D14+'Non travel METs'!C14),0.1)</f>
        <v>41.302888277724669</v>
      </c>
      <c r="J14" s="17">
        <f>IF((E14+'Non travel METs'!D14)&gt;2.5,(E14+'Non travel METs'!D14),0.1)</f>
        <v>36.597283662610181</v>
      </c>
      <c r="K14" s="17">
        <f>IF((F14+'Non travel METs'!E14)&gt;2.5,(F14+'Non travel METs'!E14),0.1)</f>
        <v>40.168594993916507</v>
      </c>
      <c r="L14" s="17">
        <f>IF((G14+'Non travel METs'!F14)&gt;2.5,(G14+'Non travel METs'!F14),0.1)</f>
        <v>43.407215956814532</v>
      </c>
      <c r="M14" s="17">
        <f>IF((H14+'Non travel METs'!G14)&gt;2.5,(H14+'Non travel METs'!G14),0.1)</f>
        <v>48.007043187814794</v>
      </c>
      <c r="N14" s="19">
        <f>'Phy activity RRs'!$O$4</f>
        <v>0.89073615217571622</v>
      </c>
      <c r="O14" s="15">
        <f t="shared" si="7"/>
        <v>0.74577683254481375</v>
      </c>
      <c r="P14" s="15">
        <f t="shared" si="12"/>
        <v>0.75232151478983889</v>
      </c>
      <c r="Q14" s="15">
        <f t="shared" si="13"/>
        <v>0.74729602442958065</v>
      </c>
      <c r="R14" s="15">
        <f t="shared" si="14"/>
        <v>0.74304719050096835</v>
      </c>
      <c r="S14" s="15">
        <f t="shared" si="15"/>
        <v>0.7374410116772111</v>
      </c>
      <c r="T14" s="18">
        <f t="shared" si="16"/>
        <v>1</v>
      </c>
      <c r="U14" s="18">
        <f t="shared" si="16"/>
        <v>1.008775657756346</v>
      </c>
      <c r="V14" s="18">
        <f t="shared" si="16"/>
        <v>1.0020370596383144</v>
      </c>
      <c r="W14" s="183">
        <f t="shared" si="16"/>
        <v>0.99633986747143777</v>
      </c>
      <c r="X14" s="183">
        <f t="shared" si="16"/>
        <v>0.98882263365682954</v>
      </c>
      <c r="Y14" s="203">
        <f t="shared" si="8"/>
        <v>-2.0703504162677966E-4</v>
      </c>
      <c r="Z14" s="269">
        <f t="shared" si="17"/>
        <v>1.0002070350416268</v>
      </c>
      <c r="AA14" s="269">
        <f>'Inflammatory HD'!F14</f>
        <v>1</v>
      </c>
      <c r="AB14" s="17">
        <f>Z14*AA14*GBDNZ!E227/($T14+$U14+$X14+V14+W14)</f>
        <v>66.721945324726349</v>
      </c>
      <c r="AC14" s="16">
        <f t="shared" si="18"/>
        <v>67.307474281733775</v>
      </c>
      <c r="AD14" s="16">
        <f t="shared" si="18"/>
        <v>66.857861906537167</v>
      </c>
      <c r="AE14" s="16">
        <f t="shared" si="18"/>
        <v>66.477734162274373</v>
      </c>
      <c r="AF14" s="16">
        <f t="shared" si="18"/>
        <v>65.97616969870289</v>
      </c>
      <c r="AG14" s="17">
        <f>Z14*AA14*GBDNZ!F227/($T14+$U14+$X14+V14+W14)</f>
        <v>3201.3434216504315</v>
      </c>
      <c r="AH14" s="16">
        <f t="shared" si="19"/>
        <v>3229.4373158793655</v>
      </c>
      <c r="AI14" s="16">
        <f t="shared" si="19"/>
        <v>3207.864749123059</v>
      </c>
      <c r="AJ14" s="16">
        <f t="shared" si="19"/>
        <v>3189.62608045775</v>
      </c>
      <c r="AK14" s="16">
        <f t="shared" si="19"/>
        <v>3165.560833436346</v>
      </c>
      <c r="AL14" s="17">
        <f t="shared" si="20"/>
        <v>11566.264600257246</v>
      </c>
      <c r="AM14" s="17">
        <f t="shared" si="20"/>
        <v>11667.150342042953</v>
      </c>
      <c r="AN14" s="17">
        <f t="shared" si="20"/>
        <v>11588.537418056485</v>
      </c>
      <c r="AO14" s="17">
        <f t="shared" si="20"/>
        <v>11521.493690486315</v>
      </c>
      <c r="AP14" s="17">
        <f t="shared" si="20"/>
        <v>11431.338873157008</v>
      </c>
      <c r="AQ14" s="17">
        <f t="shared" si="9"/>
        <v>6.8999020974516156E-2</v>
      </c>
      <c r="AR14" s="17">
        <f t="shared" si="10"/>
        <v>3.3105983469499733</v>
      </c>
      <c r="AS14" s="17">
        <f t="shared" si="11"/>
        <v>0</v>
      </c>
      <c r="AT14" s="17">
        <f t="shared" si="21"/>
        <v>3.3105983469499733</v>
      </c>
      <c r="AU14" s="22">
        <f>AT14/GBDNZ!H227</f>
        <v>4.4880154287802746E-5</v>
      </c>
      <c r="AV14" s="22"/>
      <c r="AW14" s="22"/>
      <c r="AX14" s="22"/>
    </row>
    <row r="15" spans="1:50" s="13" customFormat="1" ht="13" x14ac:dyDescent="0.3">
      <c r="A15" s="20">
        <v>1</v>
      </c>
      <c r="B15" s="20">
        <v>2</v>
      </c>
      <c r="C15" s="20" t="s">
        <v>37</v>
      </c>
      <c r="D15" s="17">
        <f>Scenario!AN31</f>
        <v>0.44144644170812064</v>
      </c>
      <c r="E15" s="17">
        <f>Scenario!AO31</f>
        <v>1.0526969057977646</v>
      </c>
      <c r="F15" s="17">
        <f>Scenario!AP31</f>
        <v>1.9217946382451725</v>
      </c>
      <c r="G15" s="17">
        <f>Scenario!AQ31</f>
        <v>3.5084121661676253</v>
      </c>
      <c r="H15" s="17">
        <f>Scenario!AR31</f>
        <v>8.3663481741911028</v>
      </c>
      <c r="I15" s="17">
        <f>IF((D15+'Non travel METs'!C15)&gt;2.5,(D15+'Non travel METs'!C15),0.1)</f>
        <v>42.091446441708122</v>
      </c>
      <c r="J15" s="17">
        <f>IF((E15+'Non travel METs'!D15)&gt;2.5,(E15+'Non travel METs'!D15),0.1)</f>
        <v>44.102696905797764</v>
      </c>
      <c r="K15" s="17">
        <f>IF((F15+'Non travel METs'!E15)&gt;2.5,(F15+'Non travel METs'!E15),0.1)</f>
        <v>47.988461304911873</v>
      </c>
      <c r="L15" s="17">
        <f>IF((G15+'Non travel METs'!F15)&gt;2.5,(G15+'Non travel METs'!F15),0.1)</f>
        <v>44.508412166167624</v>
      </c>
      <c r="M15" s="17">
        <f>IF((H15+'Non travel METs'!G15)&gt;2.5,(H15+'Non travel METs'!G15),0.1)</f>
        <v>49.366348174191103</v>
      </c>
      <c r="N15" s="19">
        <f>'Phy activity RRs'!$O$4</f>
        <v>0.89073615217571622</v>
      </c>
      <c r="O15" s="15">
        <f t="shared" si="7"/>
        <v>0.74474081028108163</v>
      </c>
      <c r="P15" s="15">
        <f t="shared" si="12"/>
        <v>0.74216901735777352</v>
      </c>
      <c r="Q15" s="15">
        <f t="shared" si="13"/>
        <v>0.73746274907012943</v>
      </c>
      <c r="R15" s="15">
        <f t="shared" si="14"/>
        <v>0.74166198712970621</v>
      </c>
      <c r="S15" s="15">
        <f t="shared" si="15"/>
        <v>0.73586941348107016</v>
      </c>
      <c r="T15" s="18">
        <f t="shared" si="16"/>
        <v>1</v>
      </c>
      <c r="U15" s="18">
        <f t="shared" si="16"/>
        <v>0.99654672754896101</v>
      </c>
      <c r="V15" s="18">
        <f t="shared" si="16"/>
        <v>0.99022739037463881</v>
      </c>
      <c r="W15" s="183">
        <f t="shared" si="16"/>
        <v>0.99586591320245577</v>
      </c>
      <c r="X15" s="183">
        <f t="shared" si="16"/>
        <v>0.98808794055926219</v>
      </c>
      <c r="Y15" s="203">
        <f t="shared" si="8"/>
        <v>-2.183461501343853E-4</v>
      </c>
      <c r="Z15" s="269">
        <f t="shared" si="17"/>
        <v>1.0002183461501344</v>
      </c>
      <c r="AA15" s="269">
        <f>'Inflammatory HD'!F15</f>
        <v>1</v>
      </c>
      <c r="AB15" s="17">
        <f>Z15*AA15*GBDNZ!E229/($T15+$U15+$X15+V15+W15)</f>
        <v>245.07748669719294</v>
      </c>
      <c r="AC15" s="16">
        <f t="shared" si="18"/>
        <v>244.23116736401164</v>
      </c>
      <c r="AD15" s="16">
        <f t="shared" si="18"/>
        <v>242.68244009173662</v>
      </c>
      <c r="AE15" s="16">
        <f t="shared" si="18"/>
        <v>244.06431509506274</v>
      </c>
      <c r="AF15" s="16">
        <f t="shared" si="18"/>
        <v>242.15810910806934</v>
      </c>
      <c r="AG15" s="17">
        <f>Z15*AA15*GBDNZ!F229/($T15+$U15+$X15+V15+W15)</f>
        <v>8403.1114972060695</v>
      </c>
      <c r="AH15" s="16">
        <f t="shared" si="19"/>
        <v>8374.0932637697588</v>
      </c>
      <c r="AI15" s="16">
        <f t="shared" si="19"/>
        <v>8320.9911689054898</v>
      </c>
      <c r="AJ15" s="16">
        <f t="shared" si="19"/>
        <v>8368.3723049071777</v>
      </c>
      <c r="AK15" s="16">
        <f t="shared" si="19"/>
        <v>8303.0131335642036</v>
      </c>
      <c r="AL15" s="17">
        <f t="shared" si="20"/>
        <v>14458.27876818101</v>
      </c>
      <c r="AM15" s="17">
        <f t="shared" si="20"/>
        <v>14407.680818530136</v>
      </c>
      <c r="AN15" s="17">
        <f t="shared" si="20"/>
        <v>14315.505287639175</v>
      </c>
      <c r="AO15" s="17">
        <f t="shared" si="20"/>
        <v>14395.222790268568</v>
      </c>
      <c r="AP15" s="17">
        <f t="shared" si="20"/>
        <v>14278.514489381112</v>
      </c>
      <c r="AQ15" s="17">
        <f t="shared" si="9"/>
        <v>0.26593416607326503</v>
      </c>
      <c r="AR15" s="17">
        <f t="shared" si="10"/>
        <v>9.1182363527059351</v>
      </c>
      <c r="AS15" s="17">
        <f t="shared" si="11"/>
        <v>0</v>
      </c>
      <c r="AT15" s="17">
        <f t="shared" si="21"/>
        <v>9.1182363527059351</v>
      </c>
      <c r="AU15" s="22">
        <f>AT15/GBDNZ!H229</f>
        <v>8.0255098007418055E-5</v>
      </c>
      <c r="AV15" s="22"/>
      <c r="AW15" s="22"/>
      <c r="AX15" s="22"/>
    </row>
    <row r="16" spans="1:50" s="13" customFormat="1" ht="13" x14ac:dyDescent="0.3">
      <c r="A16" s="20">
        <v>1</v>
      </c>
      <c r="B16" s="20">
        <v>2</v>
      </c>
      <c r="C16" s="20" t="s">
        <v>36</v>
      </c>
      <c r="D16" s="17">
        <f>Scenario!AN32</f>
        <v>0.3316861829647314</v>
      </c>
      <c r="E16" s="17">
        <f>Scenario!AO32</f>
        <v>0.79095669488646103</v>
      </c>
      <c r="F16" s="17">
        <f>Scenario!AP32</f>
        <v>1.4439639054177522</v>
      </c>
      <c r="G16" s="17">
        <f>Scenario!AQ32</f>
        <v>2.6360883897045526</v>
      </c>
      <c r="H16" s="17">
        <f>Scenario!AR32</f>
        <v>6.2861580229616978</v>
      </c>
      <c r="I16" s="17">
        <f>IF((D16+'Non travel METs'!C16)&gt;2.5,(D16+'Non travel METs'!C16),0.1)</f>
        <v>33.131686182964728</v>
      </c>
      <c r="J16" s="17">
        <f>IF((E16+'Non travel METs'!D16)&gt;2.5,(E16+'Non travel METs'!D16),0.1)</f>
        <v>18.790956694886461</v>
      </c>
      <c r="K16" s="17">
        <f>IF((F16+'Non travel METs'!E16)&gt;2.5,(F16+'Non travel METs'!E16),0.1)</f>
        <v>33.193963905417753</v>
      </c>
      <c r="L16" s="17">
        <f>IF((G16+'Non travel METs'!F16)&gt;2.5,(G16+'Non travel METs'!F16),0.1)</f>
        <v>23.136088389704554</v>
      </c>
      <c r="M16" s="17">
        <f>IF((H16+'Non travel METs'!G16)&gt;2.5,(H16+'Non travel METs'!G16),0.1)</f>
        <v>10.786158022961697</v>
      </c>
      <c r="N16" s="19">
        <f>'Phy activity RRs'!$O$4</f>
        <v>0.89073615217571622</v>
      </c>
      <c r="O16" s="15">
        <f t="shared" si="7"/>
        <v>0.75759925126551941</v>
      </c>
      <c r="P16" s="15">
        <f t="shared" si="12"/>
        <v>0.7859157962373976</v>
      </c>
      <c r="Q16" s="15">
        <f t="shared" si="13"/>
        <v>0.75750049716993106</v>
      </c>
      <c r="R16" s="15">
        <f t="shared" si="14"/>
        <v>0.77587389668200124</v>
      </c>
      <c r="S16" s="15">
        <f t="shared" si="15"/>
        <v>0.81083608013689246</v>
      </c>
      <c r="T16" s="18">
        <f t="shared" si="16"/>
        <v>1</v>
      </c>
      <c r="U16" s="18">
        <f t="shared" si="16"/>
        <v>1.0373766802495874</v>
      </c>
      <c r="V16" s="18">
        <f t="shared" si="16"/>
        <v>0.99986964863623695</v>
      </c>
      <c r="W16" s="183">
        <f t="shared" si="16"/>
        <v>1.0241217838929424</v>
      </c>
      <c r="X16" s="183">
        <f t="shared" si="16"/>
        <v>1.0702704349066403</v>
      </c>
      <c r="Y16" s="203">
        <f t="shared" si="8"/>
        <v>-6.2304940976853906E-4</v>
      </c>
      <c r="Z16" s="269">
        <f t="shared" si="17"/>
        <v>1.0006230494097685</v>
      </c>
      <c r="AA16" s="269">
        <f>'Inflammatory HD'!F16</f>
        <v>1</v>
      </c>
      <c r="AB16" s="17">
        <f>Z16*AA16*GBDNZ!E231/($T16+$U16+$X16+V16+W16)</f>
        <v>366.25865001860393</v>
      </c>
      <c r="AC16" s="16">
        <f t="shared" si="18"/>
        <v>379.94818246899484</v>
      </c>
      <c r="AD16" s="16">
        <f t="shared" si="18"/>
        <v>366.21090770408398</v>
      </c>
      <c r="AE16" s="16">
        <f t="shared" si="18"/>
        <v>375.0934620232735</v>
      </c>
      <c r="AF16" s="16">
        <f t="shared" si="18"/>
        <v>391.9958046437302</v>
      </c>
      <c r="AG16" s="17">
        <f>Z16*AA16*GBDNZ!F231/($T16+$U16+$X16+V16+W16)</f>
        <v>8626.2796007042052</v>
      </c>
      <c r="AH16" s="16">
        <f t="shared" si="19"/>
        <v>8948.701295083265</v>
      </c>
      <c r="AI16" s="16">
        <f t="shared" si="19"/>
        <v>8625.1551533940528</v>
      </c>
      <c r="AJ16" s="16">
        <f t="shared" si="19"/>
        <v>8834.3608530324891</v>
      </c>
      <c r="AK16" s="16">
        <f t="shared" si="19"/>
        <v>9232.4520198719692</v>
      </c>
      <c r="AL16" s="17">
        <f t="shared" si="20"/>
        <v>8544.0844745928534</v>
      </c>
      <c r="AM16" s="17">
        <f t="shared" si="20"/>
        <v>8862.2594327052684</v>
      </c>
      <c r="AN16" s="17">
        <f t="shared" si="20"/>
        <v>8541.5664839732126</v>
      </c>
      <c r="AO16" s="17">
        <f t="shared" si="20"/>
        <v>8746.1909135884798</v>
      </c>
      <c r="AP16" s="17">
        <f t="shared" si="20"/>
        <v>9126.0143911401919</v>
      </c>
      <c r="AQ16" s="17">
        <f t="shared" si="9"/>
        <v>1.1702965786867026</v>
      </c>
      <c r="AR16" s="17">
        <f t="shared" si="10"/>
        <v>27.563323085980301</v>
      </c>
      <c r="AS16" s="17">
        <f t="shared" si="11"/>
        <v>0</v>
      </c>
      <c r="AT16" s="17">
        <f t="shared" si="21"/>
        <v>27.563323085980301</v>
      </c>
      <c r="AU16" s="22">
        <f>AT16/GBDNZ!H231</f>
        <v>3.1300793987316564E-4</v>
      </c>
      <c r="AV16" s="22"/>
      <c r="AW16" s="22"/>
      <c r="AX16" s="22"/>
    </row>
    <row r="17" spans="1:50" s="13" customFormat="1" ht="13" x14ac:dyDescent="0.3">
      <c r="A17" s="20">
        <v>1</v>
      </c>
      <c r="B17" s="20">
        <v>2</v>
      </c>
      <c r="C17" s="20" t="s">
        <v>35</v>
      </c>
      <c r="D17" s="17">
        <f>Scenario!AN33</f>
        <v>0.28952396631326538</v>
      </c>
      <c r="E17" s="17">
        <f>Scenario!AO33</f>
        <v>0.69041440749405425</v>
      </c>
      <c r="F17" s="17">
        <f>Scenario!AP33</f>
        <v>1.2604147491853572</v>
      </c>
      <c r="G17" s="17">
        <f>Scenario!AQ33</f>
        <v>2.3010025902127014</v>
      </c>
      <c r="H17" s="17">
        <f>Scenario!AR33</f>
        <v>5.4870944198279963</v>
      </c>
      <c r="I17" s="17">
        <f>IF((D17+'Non travel METs'!C17)&gt;2.5,(D17+'Non travel METs'!C17),0.1)</f>
        <v>6.1228572996465953</v>
      </c>
      <c r="J17" s="17">
        <f>IF((E17+'Non travel METs'!D17)&gt;2.5,(E17+'Non travel METs'!D17),0.1)</f>
        <v>5.6904144074940541</v>
      </c>
      <c r="K17" s="17">
        <f>IF((F17+'Non travel METs'!E17)&gt;2.5,(F17+'Non travel METs'!E17),0.1)</f>
        <v>3.7604147491853572</v>
      </c>
      <c r="L17" s="17">
        <f>IF((G17+'Non travel METs'!F17)&gt;2.5,(G17+'Non travel METs'!F17),0.1)</f>
        <v>6.0510025902127014</v>
      </c>
      <c r="M17" s="17">
        <f>IF((H17+'Non travel METs'!G17)&gt;2.5,(H17+'Non travel METs'!G17),0.1)</f>
        <v>5.4870944198279963</v>
      </c>
      <c r="N17" s="19">
        <f>'Phy activity RRs'!$O$4</f>
        <v>0.89073615217571622</v>
      </c>
      <c r="O17" s="15">
        <f t="shared" si="7"/>
        <v>0.83359195754878546</v>
      </c>
      <c r="P17" s="15">
        <f t="shared" si="12"/>
        <v>0.83634949593313057</v>
      </c>
      <c r="Q17" s="15">
        <f t="shared" si="13"/>
        <v>0.85118386041913219</v>
      </c>
      <c r="R17" s="15">
        <f t="shared" si="14"/>
        <v>0.83403918611031702</v>
      </c>
      <c r="S17" s="15">
        <f t="shared" si="15"/>
        <v>0.83770394972371631</v>
      </c>
      <c r="T17" s="18">
        <f t="shared" si="16"/>
        <v>1</v>
      </c>
      <c r="U17" s="18">
        <f t="shared" si="16"/>
        <v>1.0033080194205013</v>
      </c>
      <c r="V17" s="18">
        <f t="shared" si="16"/>
        <v>1.0211037339204621</v>
      </c>
      <c r="W17" s="183">
        <f t="shared" si="16"/>
        <v>1.0005365077691568</v>
      </c>
      <c r="X17" s="183">
        <f t="shared" si="16"/>
        <v>1.0049328597015528</v>
      </c>
      <c r="Y17" s="203">
        <f t="shared" si="8"/>
        <v>-1.0273660298001364E-3</v>
      </c>
      <c r="Z17" s="269">
        <f t="shared" si="17"/>
        <v>1.0010273660298001</v>
      </c>
      <c r="AA17" s="269">
        <f>'Inflammatory HD'!F17</f>
        <v>1</v>
      </c>
      <c r="AB17" s="17">
        <f>Z17*AA17*GBDNZ!E233/($T17+$U17+$X17+V17+W17)</f>
        <v>553.37918148927986</v>
      </c>
      <c r="AC17" s="16">
        <f t="shared" si="18"/>
        <v>555.20977056854747</v>
      </c>
      <c r="AD17" s="16">
        <f t="shared" si="18"/>
        <v>565.05754849255266</v>
      </c>
      <c r="AE17" s="16">
        <f t="shared" si="18"/>
        <v>553.67607371943848</v>
      </c>
      <c r="AF17" s="16">
        <f t="shared" si="18"/>
        <v>556.10892335332653</v>
      </c>
      <c r="AG17" s="17">
        <f>Z17*AA17*GBDNZ!F233/($T17+$U17+$X17+V17+W17)</f>
        <v>8295.0777817460421</v>
      </c>
      <c r="AH17" s="16">
        <f t="shared" si="19"/>
        <v>8322.5180601426273</v>
      </c>
      <c r="AI17" s="16">
        <f t="shared" si="19"/>
        <v>8470.1348961015465</v>
      </c>
      <c r="AJ17" s="16">
        <f t="shared" si="19"/>
        <v>8299.528155421709</v>
      </c>
      <c r="AK17" s="16">
        <f t="shared" si="19"/>
        <v>8335.9962366568634</v>
      </c>
      <c r="AL17" s="17">
        <f t="shared" si="20"/>
        <v>5978.3593123427518</v>
      </c>
      <c r="AM17" s="17">
        <f t="shared" si="20"/>
        <v>5996.8723514466656</v>
      </c>
      <c r="AN17" s="17">
        <f t="shared" si="20"/>
        <v>6100.1239794798275</v>
      </c>
      <c r="AO17" s="17">
        <f t="shared" si="20"/>
        <v>5975.9365380168283</v>
      </c>
      <c r="AP17" s="17">
        <f t="shared" si="20"/>
        <v>5992.6337737139311</v>
      </c>
      <c r="AQ17" s="17">
        <f t="shared" si="9"/>
        <v>2.8566681231446864</v>
      </c>
      <c r="AR17" s="17">
        <f t="shared" si="10"/>
        <v>42.821062068778701</v>
      </c>
      <c r="AS17" s="17">
        <f t="shared" si="11"/>
        <v>0</v>
      </c>
      <c r="AT17" s="17">
        <f t="shared" si="21"/>
        <v>42.821062068778701</v>
      </c>
      <c r="AU17" s="22">
        <f>AT17/GBDNZ!H233</f>
        <v>5.9702257439248161E-4</v>
      </c>
      <c r="AV17" s="22"/>
      <c r="AW17" s="22"/>
      <c r="AX17" s="22"/>
    </row>
    <row r="18" spans="1:50" s="13" customFormat="1" ht="13" x14ac:dyDescent="0.3">
      <c r="A18" s="20">
        <v>1</v>
      </c>
      <c r="B18" s="20">
        <v>2</v>
      </c>
      <c r="C18" s="20" t="s">
        <v>34</v>
      </c>
      <c r="D18" s="17">
        <f>Scenario!AN34</f>
        <v>0.16944759244251412</v>
      </c>
      <c r="E18" s="17">
        <f>Scenario!AO34</f>
        <v>0.40407383411883097</v>
      </c>
      <c r="F18" s="17">
        <f>Scenario!AP34</f>
        <v>0.73767380106076064</v>
      </c>
      <c r="G18" s="17">
        <f>Scenario!AQ34</f>
        <v>1.346691101536166</v>
      </c>
      <c r="H18" s="17">
        <f>Scenario!AR34</f>
        <v>3.211391964486249</v>
      </c>
      <c r="I18" s="17">
        <f>IF((D18+'Non travel METs'!C18)&gt;2.5,(D18+'Non travel METs'!C18),0.1)</f>
        <v>6.6694475924425145</v>
      </c>
      <c r="J18" s="17">
        <f>IF((E18+'Non travel METs'!D18)&gt;2.5,(E18+'Non travel METs'!D18),0.1)</f>
        <v>3.5290738341188308</v>
      </c>
      <c r="K18" s="17">
        <f>IF((F18+'Non travel METs'!E18)&gt;2.5,(F18+'Non travel METs'!E18),0.1)</f>
        <v>0.1</v>
      </c>
      <c r="L18" s="17">
        <f>IF((G18+'Non travel METs'!F18)&gt;2.5,(G18+'Non travel METs'!F18),0.1)</f>
        <v>0.1</v>
      </c>
      <c r="M18" s="17">
        <f>IF((H18+'Non travel METs'!G18)&gt;2.5,(H18+'Non travel METs'!G18),0.1)</f>
        <v>3.211391964486249</v>
      </c>
      <c r="N18" s="19">
        <f>'Phy activity RRs'!$O$4</f>
        <v>0.89073615217571622</v>
      </c>
      <c r="O18" s="15">
        <f t="shared" si="7"/>
        <v>0.83032008850008088</v>
      </c>
      <c r="P18" s="15">
        <f t="shared" si="12"/>
        <v>0.85334643997211357</v>
      </c>
      <c r="Q18" s="15">
        <f t="shared" si="13"/>
        <v>0.93700483239712185</v>
      </c>
      <c r="R18" s="15">
        <f t="shared" si="14"/>
        <v>0.93700483239712185</v>
      </c>
      <c r="S18" s="15">
        <f t="shared" si="15"/>
        <v>0.85650643708598673</v>
      </c>
      <c r="T18" s="18">
        <f t="shared" si="16"/>
        <v>1</v>
      </c>
      <c r="U18" s="18">
        <f t="shared" si="16"/>
        <v>1.0277318973621707</v>
      </c>
      <c r="V18" s="18">
        <f t="shared" si="16"/>
        <v>1.1284862854393418</v>
      </c>
      <c r="W18" s="183">
        <f t="shared" si="16"/>
        <v>1.1284862854393418</v>
      </c>
      <c r="X18" s="183">
        <f t="shared" si="16"/>
        <v>1.0315376551146798</v>
      </c>
      <c r="Y18" s="203">
        <f t="shared" si="8"/>
        <v>-5.9835445348599414E-4</v>
      </c>
      <c r="Z18" s="269">
        <f t="shared" si="17"/>
        <v>1.000598354453486</v>
      </c>
      <c r="AA18" s="269">
        <f>'Inflammatory HD'!F18</f>
        <v>1</v>
      </c>
      <c r="AB18" s="17">
        <f>Z18*AA18*GBDNZ!E235/($T18+$U18+$X18+V18+W18)</f>
        <v>1797.3627656211679</v>
      </c>
      <c r="AC18" s="16">
        <f t="shared" si="18"/>
        <v>1847.2070453599615</v>
      </c>
      <c r="AD18" s="16">
        <f t="shared" si="18"/>
        <v>2028.2992309628141</v>
      </c>
      <c r="AE18" s="16">
        <f t="shared" si="18"/>
        <v>2028.2992309628141</v>
      </c>
      <c r="AF18" s="16">
        <f t="shared" si="18"/>
        <v>1854.0473726392952</v>
      </c>
      <c r="AG18" s="17">
        <f>Z18*AA18*GBDNZ!F235/($T18+$U18+$X18+V18+W18)</f>
        <v>10263.769369983493</v>
      </c>
      <c r="AH18" s="16">
        <f t="shared" si="19"/>
        <v>10548.403168700866</v>
      </c>
      <c r="AI18" s="16">
        <f t="shared" si="19"/>
        <v>11582.522970938766</v>
      </c>
      <c r="AJ18" s="16">
        <f t="shared" si="19"/>
        <v>11582.522970938766</v>
      </c>
      <c r="AK18" s="16">
        <f t="shared" si="19"/>
        <v>10587.464588550645</v>
      </c>
      <c r="AL18" s="17">
        <f t="shared" si="20"/>
        <v>6404.6391404894475</v>
      </c>
      <c r="AM18" s="17">
        <f t="shared" si="20"/>
        <v>6580.6259913597651</v>
      </c>
      <c r="AN18" s="17">
        <f t="shared" si="20"/>
        <v>7228.1962353154886</v>
      </c>
      <c r="AO18" s="17">
        <f t="shared" si="20"/>
        <v>7228.1962353154886</v>
      </c>
      <c r="AP18" s="17">
        <f t="shared" si="20"/>
        <v>6589.6484715198039</v>
      </c>
      <c r="AQ18" s="17">
        <f t="shared" si="9"/>
        <v>5.7139868460556045</v>
      </c>
      <c r="AR18" s="17">
        <f t="shared" si="10"/>
        <v>32.629497112549871</v>
      </c>
      <c r="AS18" s="17">
        <f t="shared" si="11"/>
        <v>0</v>
      </c>
      <c r="AT18" s="17">
        <f t="shared" si="21"/>
        <v>32.629497112549871</v>
      </c>
      <c r="AU18" s="22">
        <f>AT18/GBDNZ!H235</f>
        <v>3.6843111240330635E-4</v>
      </c>
      <c r="AV18" s="22"/>
      <c r="AW18" s="22"/>
      <c r="AX18" s="22"/>
    </row>
    <row r="19" spans="1:50" s="13" customFormat="1" ht="13" x14ac:dyDescent="0.3">
      <c r="A19" s="20"/>
      <c r="B19" s="20"/>
      <c r="C19" s="20"/>
      <c r="D19" s="17"/>
      <c r="E19" s="16"/>
      <c r="F19" s="17"/>
      <c r="G19" s="16"/>
      <c r="H19" s="17"/>
      <c r="I19" s="17"/>
      <c r="J19" s="17"/>
      <c r="K19" s="17"/>
      <c r="L19" s="17"/>
      <c r="M19" s="17"/>
      <c r="N19" s="19"/>
      <c r="O19" s="15"/>
      <c r="P19" s="15"/>
      <c r="Q19" s="15"/>
      <c r="R19" s="15"/>
      <c r="S19" s="15"/>
      <c r="T19" s="18"/>
      <c r="U19" s="18"/>
      <c r="V19" s="18"/>
      <c r="W19" s="183"/>
      <c r="X19" s="184"/>
      <c r="Y19" s="18"/>
      <c r="Z19" s="16"/>
      <c r="AA19" s="230"/>
      <c r="AB19" s="17"/>
      <c r="AC19" s="16"/>
      <c r="AD19" s="16"/>
      <c r="AE19" s="16"/>
      <c r="AF19" s="16"/>
      <c r="AG19" s="17"/>
      <c r="AH19" s="16"/>
      <c r="AI19" s="16"/>
      <c r="AJ19" s="16"/>
      <c r="AK19" s="16"/>
      <c r="AL19" s="17"/>
      <c r="AM19" s="16"/>
      <c r="AN19" s="16"/>
      <c r="AO19" s="16"/>
      <c r="AP19" s="16"/>
      <c r="AQ19" s="439">
        <f>SUM(AQ3:AQ18)</f>
        <v>21.850520434112362</v>
      </c>
      <c r="AR19" s="439">
        <f>SUM(AR3:AR18)</f>
        <v>248.42915467807279</v>
      </c>
      <c r="AS19" s="439">
        <f>SUM(AS3:AS18)</f>
        <v>0</v>
      </c>
      <c r="AT19" s="439">
        <f>SUM(AT3:AT18)</f>
        <v>248.42915467807279</v>
      </c>
      <c r="AU19" s="22"/>
      <c r="AV19" s="22"/>
      <c r="AW19" s="22"/>
      <c r="AX19" s="22"/>
    </row>
    <row r="20" spans="1:50" s="13" customFormat="1" ht="13" x14ac:dyDescent="0.3">
      <c r="A20" s="20">
        <v>0</v>
      </c>
      <c r="B20" s="20">
        <v>1</v>
      </c>
      <c r="C20" s="20" t="s">
        <v>2</v>
      </c>
      <c r="D20" s="17"/>
      <c r="E20" s="17"/>
      <c r="F20" s="17"/>
      <c r="G20" s="17"/>
      <c r="H20" s="17"/>
      <c r="I20" s="17"/>
      <c r="J20" s="17"/>
      <c r="K20" s="17"/>
      <c r="L20" s="17"/>
      <c r="M20" s="17"/>
      <c r="N20" s="19"/>
      <c r="O20" s="15"/>
      <c r="P20" s="15"/>
      <c r="Q20" s="15"/>
      <c r="R20" s="15"/>
      <c r="S20" s="15"/>
      <c r="T20" s="18"/>
      <c r="U20" s="18"/>
      <c r="V20" s="18"/>
      <c r="W20" s="183"/>
      <c r="X20" s="183"/>
      <c r="Y20" s="18"/>
      <c r="Z20" s="16"/>
      <c r="AA20" s="16"/>
      <c r="AB20" s="17"/>
      <c r="AC20" s="16"/>
      <c r="AD20" s="16"/>
      <c r="AE20" s="16"/>
      <c r="AF20" s="16"/>
      <c r="AG20" s="17"/>
      <c r="AH20" s="16"/>
      <c r="AI20" s="16"/>
      <c r="AJ20" s="16"/>
      <c r="AK20" s="16"/>
      <c r="AL20" s="17"/>
      <c r="AM20" s="16"/>
      <c r="AN20" s="16"/>
      <c r="AO20" s="16"/>
      <c r="AP20" s="16"/>
      <c r="AQ20" s="32">
        <f>AQ19/GBDNZ!E236</f>
        <v>6.5720334756750828E-4</v>
      </c>
      <c r="AR20" s="32">
        <f>AR19/GBDNZ!F236</f>
        <v>4.7416839435316115E-4</v>
      </c>
      <c r="AS20" s="32">
        <f>AS19/GBDNZ!G236</f>
        <v>0</v>
      </c>
      <c r="AT20" s="32">
        <f>AT19/GBDNZ!H236</f>
        <v>2.2736725603032562E-4</v>
      </c>
      <c r="AU20" s="14"/>
      <c r="AV20" s="14"/>
      <c r="AW20" s="14"/>
      <c r="AX20" s="14"/>
    </row>
    <row r="21" spans="1:50" s="13" customFormat="1" ht="13" x14ac:dyDescent="0.3">
      <c r="A21" s="20">
        <v>0</v>
      </c>
      <c r="B21" s="20">
        <v>1</v>
      </c>
      <c r="C21" s="20" t="s">
        <v>40</v>
      </c>
      <c r="D21" s="17"/>
      <c r="E21" s="17"/>
      <c r="F21" s="17"/>
      <c r="G21" s="17"/>
      <c r="H21" s="17"/>
      <c r="I21" s="17"/>
      <c r="J21" s="17"/>
      <c r="K21" s="17"/>
      <c r="L21" s="17"/>
      <c r="M21" s="17"/>
      <c r="N21" s="19"/>
      <c r="O21" s="15"/>
      <c r="P21" s="15"/>
      <c r="Q21" s="15"/>
      <c r="R21" s="15"/>
      <c r="S21" s="15"/>
      <c r="T21" s="18"/>
      <c r="U21" s="18"/>
      <c r="V21" s="18"/>
      <c r="W21" s="183"/>
      <c r="X21" s="183"/>
      <c r="Y21" s="18"/>
      <c r="Z21" s="16"/>
      <c r="AA21" s="16"/>
      <c r="AB21" s="17"/>
      <c r="AC21" s="16"/>
      <c r="AD21" s="16"/>
      <c r="AE21" s="16"/>
      <c r="AF21" s="16"/>
      <c r="AG21" s="17"/>
      <c r="AH21" s="16"/>
      <c r="AI21" s="16"/>
      <c r="AJ21" s="16"/>
      <c r="AK21" s="16"/>
      <c r="AL21" s="17"/>
      <c r="AM21" s="16"/>
      <c r="AN21" s="16"/>
      <c r="AO21" s="16"/>
      <c r="AP21" s="16"/>
      <c r="AQ21" s="15"/>
      <c r="AR21" s="15"/>
      <c r="AS21" s="15"/>
      <c r="AT21" s="15"/>
      <c r="AU21" s="14"/>
      <c r="AV21" s="14"/>
      <c r="AW21" s="14"/>
      <c r="AX21" s="14"/>
    </row>
    <row r="22" spans="1:50" s="13" customFormat="1" ht="13" x14ac:dyDescent="0.3">
      <c r="A22" s="20">
        <v>0</v>
      </c>
      <c r="B22" s="20">
        <v>1</v>
      </c>
      <c r="C22" s="20" t="s">
        <v>39</v>
      </c>
      <c r="D22" s="17">
        <f>Baseline!AN21</f>
        <v>0.39368586167290764</v>
      </c>
      <c r="E22" s="17">
        <f>Baseline!AO21</f>
        <v>0.93738511466315355</v>
      </c>
      <c r="F22" s="17">
        <f>Baseline!AP21</f>
        <v>1.7094900770477317</v>
      </c>
      <c r="G22" s="17">
        <f>Baseline!AQ21</f>
        <v>3.117562118078649</v>
      </c>
      <c r="H22" s="17">
        <f>Baseline!AR21</f>
        <v>7.4230664802300845</v>
      </c>
      <c r="I22" s="17">
        <f>IF((D22+'Non travel METs'!C22)&gt;2.5,(D22+'Non travel METs'!C22),0.1)</f>
        <v>58.193685861672904</v>
      </c>
      <c r="J22" s="17">
        <f>IF((E22+'Non travel METs'!D22)&gt;2.5,(E22+'Non travel METs'!D22),0.1)</f>
        <v>41.937385114663151</v>
      </c>
      <c r="K22" s="17">
        <f>IF((F22+'Non travel METs'!E22)&gt;2.5,(F22+'Non travel METs'!E22),0.1)</f>
        <v>47.209490077047732</v>
      </c>
      <c r="L22" s="17">
        <f>IF((G22+'Non travel METs'!F22)&gt;2.5,(G22+'Non travel METs'!F22),0.1)</f>
        <v>41.042562118078649</v>
      </c>
      <c r="M22" s="17">
        <f>IF((H22+'Non travel METs'!G22)&gt;2.5,(H22+'Non travel METs'!G22),0.1)</f>
        <v>48.423066480230084</v>
      </c>
      <c r="N22" s="19">
        <f>'Phy activity RRs'!$O$4</f>
        <v>0.89073615217571622</v>
      </c>
      <c r="O22" s="15">
        <f t="shared" si="7"/>
        <v>0.72645457243433176</v>
      </c>
      <c r="P22" s="15">
        <f t="shared" ref="P22:P27" si="22">$N22^(J22^0.25)</f>
        <v>0.74494195504076255</v>
      </c>
      <c r="Q22" s="15">
        <f t="shared" ref="Q22:Q27" si="23">$N22^(K22^0.25)</f>
        <v>0.73838031952584404</v>
      </c>
      <c r="R22" s="15">
        <f t="shared" ref="R22:R27" si="24">$N22^(L22^0.25)</f>
        <v>0.74612243018421009</v>
      </c>
      <c r="S22" s="15">
        <f t="shared" ref="S22:S27" si="25">$N22^(M22^0.25)</f>
        <v>0.73695615139270287</v>
      </c>
      <c r="T22" s="18">
        <f t="shared" ref="T22:X27" si="26">O22/$O22</f>
        <v>1</v>
      </c>
      <c r="U22" s="18">
        <f t="shared" si="26"/>
        <v>1.0254487800172831</v>
      </c>
      <c r="V22" s="18">
        <f t="shared" si="26"/>
        <v>1.0164163700581434</v>
      </c>
      <c r="W22" s="183">
        <f t="shared" si="26"/>
        <v>1.0270737613832779</v>
      </c>
      <c r="X22" s="183">
        <f t="shared" si="26"/>
        <v>1.0144559334566243</v>
      </c>
      <c r="Y22" s="18"/>
      <c r="Z22" s="16"/>
      <c r="AA22" s="16"/>
      <c r="AB22" s="17">
        <f>GBDNZ!E224/($T22+$U22+$X22+V22+W22)</f>
        <v>80.182087430745142</v>
      </c>
      <c r="AC22" s="16">
        <f t="shared" ref="AC22:AF27" si="27">$AB22*U22</f>
        <v>82.222623735096732</v>
      </c>
      <c r="AD22" s="16">
        <f t="shared" si="27"/>
        <v>81.498386250042671</v>
      </c>
      <c r="AE22" s="16">
        <f t="shared" si="27"/>
        <v>82.352918133058267</v>
      </c>
      <c r="AF22" s="16">
        <f t="shared" si="27"/>
        <v>81.341194351057226</v>
      </c>
      <c r="AG22" s="17">
        <f>GBDNZ!F224/($T22+$U22+$X22+V22+W22)</f>
        <v>5159.9154734235281</v>
      </c>
      <c r="AH22" s="16">
        <f t="shared" ref="AH22:AH27" si="28">$AG22*U22</f>
        <v>5291.2290272144592</v>
      </c>
      <c r="AI22" s="16">
        <f t="shared" ref="AI22:AI27" si="29">$AG22*V22</f>
        <v>5244.6225553039894</v>
      </c>
      <c r="AJ22" s="16">
        <f t="shared" ref="AJ22:AJ27" si="30">$AG22*W22</f>
        <v>5299.6137937088797</v>
      </c>
      <c r="AK22" s="16">
        <f t="shared" ref="AK22:AK27" si="31">$AG22*X22</f>
        <v>5234.5068681491448</v>
      </c>
      <c r="AL22" s="17">
        <f>GBDNZ!G224/($T22+$U22+$X22+V22+W22)</f>
        <v>8687.7104557742841</v>
      </c>
      <c r="AM22" s="16">
        <f t="shared" ref="AM22:AM27" si="32">U22*$AL22</f>
        <v>8908.8020880171352</v>
      </c>
      <c r="AN22" s="16">
        <f t="shared" ref="AN22:AN27" si="33">V22*$AL22</f>
        <v>8830.3311255742774</v>
      </c>
      <c r="AO22" s="16">
        <f t="shared" ref="AO22:AO27" si="34">W22*$AL22</f>
        <v>8922.9194556209259</v>
      </c>
      <c r="AP22" s="16">
        <f t="shared" ref="AP22:AP27" si="35">X22*$AL22</f>
        <v>8813.2994200133762</v>
      </c>
      <c r="AQ22" s="15"/>
      <c r="AR22" s="15"/>
      <c r="AS22" s="15"/>
      <c r="AT22" s="15"/>
      <c r="AU22" s="14"/>
      <c r="AV22" s="14"/>
      <c r="AW22" s="14"/>
      <c r="AX22" s="14"/>
    </row>
    <row r="23" spans="1:50" s="13" customFormat="1" ht="13" x14ac:dyDescent="0.3">
      <c r="A23" s="20">
        <v>0</v>
      </c>
      <c r="B23" s="20">
        <v>1</v>
      </c>
      <c r="C23" s="20" t="s">
        <v>38</v>
      </c>
      <c r="D23" s="17">
        <f>Baseline!AN22</f>
        <v>0.25162211131265011</v>
      </c>
      <c r="E23" s="17">
        <f>Baseline!AO22</f>
        <v>0.59912444064491777</v>
      </c>
      <c r="F23" s="17">
        <f>Baseline!AP22</f>
        <v>1.092610998594</v>
      </c>
      <c r="G23" s="17">
        <f>Baseline!AQ22</f>
        <v>1.9925723493495484</v>
      </c>
      <c r="H23" s="17">
        <f>Baseline!AR22</f>
        <v>4.7444113238730328</v>
      </c>
      <c r="I23" s="17">
        <f>IF((D23+'Non travel METs'!C23)&gt;2.5,(D23+'Non travel METs'!C23),0.1)</f>
        <v>51.501622111312649</v>
      </c>
      <c r="J23" s="17">
        <f>IF((E23+'Non travel METs'!D23)&gt;2.5,(E23+'Non travel METs'!D23),0.1)</f>
        <v>51.849124440644921</v>
      </c>
      <c r="K23" s="17">
        <f>IF((F23+'Non travel METs'!E23)&gt;2.5,(F23+'Non travel METs'!E23),0.1)</f>
        <v>65.842610998593997</v>
      </c>
      <c r="L23" s="17">
        <f>IF((G23+'Non travel METs'!F23)&gt;2.5,(G23+'Non travel METs'!F23),0.1)</f>
        <v>48.117572349349551</v>
      </c>
      <c r="M23" s="17">
        <f>IF((H23+'Non travel METs'!G23)&gt;2.5,(H23+'Non travel METs'!G23),0.1)</f>
        <v>49.544411323873028</v>
      </c>
      <c r="N23" s="19">
        <f>'Phy activity RRs'!$O$4</f>
        <v>0.89073615217571622</v>
      </c>
      <c r="O23" s="15">
        <f t="shared" si="7"/>
        <v>0.73347143320662223</v>
      </c>
      <c r="P23" s="15">
        <f t="shared" si="22"/>
        <v>0.73308899105444791</v>
      </c>
      <c r="Q23" s="15">
        <f t="shared" si="23"/>
        <v>0.71921175891435074</v>
      </c>
      <c r="R23" s="15">
        <f t="shared" si="24"/>
        <v>0.7373118562949289</v>
      </c>
      <c r="S23" s="15">
        <f t="shared" si="25"/>
        <v>0.73566619897672936</v>
      </c>
      <c r="T23" s="18">
        <f t="shared" si="26"/>
        <v>1</v>
      </c>
      <c r="U23" s="18">
        <f t="shared" si="26"/>
        <v>0.99947858616592289</v>
      </c>
      <c r="V23" s="18">
        <f t="shared" si="26"/>
        <v>0.98055865075763016</v>
      </c>
      <c r="W23" s="183">
        <f t="shared" si="26"/>
        <v>1.0052359545504272</v>
      </c>
      <c r="X23" s="183">
        <f t="shared" si="26"/>
        <v>1.0029922989100093</v>
      </c>
      <c r="Y23" s="18"/>
      <c r="Z23" s="16"/>
      <c r="AA23" s="16"/>
      <c r="AB23" s="17">
        <f>GBDNZ!E226/($T23+$U23+$X23+V23+W23)</f>
        <v>100.49171351772061</v>
      </c>
      <c r="AC23" s="16">
        <f t="shared" si="27"/>
        <v>100.43931574808236</v>
      </c>
      <c r="AD23" s="16">
        <f t="shared" si="27"/>
        <v>98.538019019258428</v>
      </c>
      <c r="AE23" s="16">
        <f t="shared" si="27"/>
        <v>101.01788356239395</v>
      </c>
      <c r="AF23" s="16">
        <f t="shared" si="27"/>
        <v>100.79241476254465</v>
      </c>
      <c r="AG23" s="17">
        <f>GBDNZ!F226/($T23+$U23+$X23+V23+W23)</f>
        <v>4872.3118465631387</v>
      </c>
      <c r="AH23" s="16">
        <f t="shared" si="28"/>
        <v>4869.7713557624029</v>
      </c>
      <c r="AI23" s="16">
        <f t="shared" si="29"/>
        <v>4777.5875303363691</v>
      </c>
      <c r="AJ23" s="16">
        <f t="shared" si="30"/>
        <v>4897.823049947252</v>
      </c>
      <c r="AK23" s="16">
        <f t="shared" si="31"/>
        <v>4886.8912599908354</v>
      </c>
      <c r="AL23" s="17">
        <f>GBDNZ!G226/($T23+$U23+$X23+V23+W23)</f>
        <v>9029.5900153728053</v>
      </c>
      <c r="AM23" s="16">
        <f t="shared" si="32"/>
        <v>9024.8818622227445</v>
      </c>
      <c r="AN23" s="16">
        <f t="shared" si="33"/>
        <v>8854.0426023685268</v>
      </c>
      <c r="AO23" s="16">
        <f t="shared" si="34"/>
        <v>9076.8685383022894</v>
      </c>
      <c r="AP23" s="16">
        <f t="shared" si="35"/>
        <v>9056.6092477336369</v>
      </c>
      <c r="AQ23" s="15"/>
      <c r="AR23" s="15"/>
      <c r="AS23" s="15"/>
      <c r="AT23" s="15"/>
      <c r="AU23" s="14"/>
      <c r="AV23" s="14"/>
      <c r="AW23" s="14"/>
      <c r="AX23" s="14"/>
    </row>
    <row r="24" spans="1:50" s="13" customFormat="1" ht="13" x14ac:dyDescent="0.3">
      <c r="A24" s="20">
        <v>0</v>
      </c>
      <c r="B24" s="20">
        <v>1</v>
      </c>
      <c r="C24" s="20" t="s">
        <v>37</v>
      </c>
      <c r="D24" s="17">
        <f>Baseline!AN23</f>
        <v>0.44656832716641398</v>
      </c>
      <c r="E24" s="17">
        <f>Baseline!AO23</f>
        <v>1.0633008276878868</v>
      </c>
      <c r="F24" s="17">
        <f>Baseline!AP23</f>
        <v>1.9391199896557647</v>
      </c>
      <c r="G24" s="17">
        <f>Baseline!AQ23</f>
        <v>3.5363334969455225</v>
      </c>
      <c r="H24" s="17">
        <f>Baseline!AR23</f>
        <v>8.4201814269764306</v>
      </c>
      <c r="I24" s="17">
        <f>IF((D24+'Non travel METs'!C24)&gt;2.5,(D24+'Non travel METs'!C24),0.1)</f>
        <v>58.721568327166409</v>
      </c>
      <c r="J24" s="17">
        <f>IF((E24+'Non travel METs'!D24)&gt;2.5,(E24+'Non travel METs'!D24),0.1)</f>
        <v>62.56330082768789</v>
      </c>
      <c r="K24" s="17">
        <f>IF((F24+'Non travel METs'!E24)&gt;2.5,(F24+'Non travel METs'!E24),0.1)</f>
        <v>55.664119989655767</v>
      </c>
      <c r="L24" s="17">
        <f>IF((G24+'Non travel METs'!F24)&gt;2.5,(G24+'Non travel METs'!F24),0.1)</f>
        <v>55.736333496945527</v>
      </c>
      <c r="M24" s="17">
        <f>IF((H24+'Non travel METs'!G24)&gt;2.5,(H24+'Non travel METs'!G24),0.1)</f>
        <v>55.12018142697643</v>
      </c>
      <c r="N24" s="19">
        <f>'Phy activity RRs'!$O$4</f>
        <v>0.89073615217571622</v>
      </c>
      <c r="O24" s="15">
        <f t="shared" si="7"/>
        <v>0.7259300553530601</v>
      </c>
      <c r="P24" s="15">
        <f t="shared" si="22"/>
        <v>0.72222645356085968</v>
      </c>
      <c r="Q24" s="15">
        <f t="shared" si="23"/>
        <v>0.72902418963132143</v>
      </c>
      <c r="R24" s="15">
        <f t="shared" si="24"/>
        <v>0.72894950260501445</v>
      </c>
      <c r="S24" s="15">
        <f t="shared" si="25"/>
        <v>0.72958935548425519</v>
      </c>
      <c r="T24" s="18">
        <f t="shared" si="26"/>
        <v>1</v>
      </c>
      <c r="U24" s="18">
        <f t="shared" si="26"/>
        <v>0.99489812859394677</v>
      </c>
      <c r="V24" s="18">
        <f t="shared" si="26"/>
        <v>1.0042623035861995</v>
      </c>
      <c r="W24" s="183">
        <f t="shared" si="26"/>
        <v>1.0041594189821577</v>
      </c>
      <c r="X24" s="183">
        <f t="shared" si="26"/>
        <v>1.0050408439548839</v>
      </c>
      <c r="Y24" s="18"/>
      <c r="Z24" s="16"/>
      <c r="AA24" s="16"/>
      <c r="AB24" s="17">
        <f>GBDNZ!E228/($T24+$U24+$X24+V24+W24)</f>
        <v>329.06472609226438</v>
      </c>
      <c r="AC24" s="16">
        <f t="shared" si="27"/>
        <v>327.38588017547352</v>
      </c>
      <c r="AD24" s="16">
        <f t="shared" si="27"/>
        <v>330.46729985437918</v>
      </c>
      <c r="AE24" s="16">
        <f t="shared" si="27"/>
        <v>330.43344416033108</v>
      </c>
      <c r="AF24" s="16">
        <f t="shared" si="27"/>
        <v>330.72349002755209</v>
      </c>
      <c r="AG24" s="17">
        <f>GBDNZ!F228/($T24+$U24+$X24+V24+W24)</f>
        <v>11250.376020827229</v>
      </c>
      <c r="AH24" s="16">
        <f t="shared" si="28"/>
        <v>11192.978049099223</v>
      </c>
      <c r="AI24" s="16">
        <f t="shared" si="29"/>
        <v>11298.328538886894</v>
      </c>
      <c r="AJ24" s="16">
        <f t="shared" si="30"/>
        <v>11297.171048404669</v>
      </c>
      <c r="AK24" s="16">
        <f t="shared" si="31"/>
        <v>11307.087410781987</v>
      </c>
      <c r="AL24" s="17">
        <f>GBDNZ!G228/($T24+$U24+$X24+V24+W24)</f>
        <v>12292.981161685164</v>
      </c>
      <c r="AM24" s="16">
        <f t="shared" si="32"/>
        <v>12230.263952601212</v>
      </c>
      <c r="AN24" s="16">
        <f t="shared" si="33"/>
        <v>12345.377579375698</v>
      </c>
      <c r="AO24" s="16">
        <f t="shared" si="34"/>
        <v>12344.112820876384</v>
      </c>
      <c r="AP24" s="16">
        <f t="shared" si="35"/>
        <v>12354.948161461547</v>
      </c>
      <c r="AQ24" s="15"/>
      <c r="AR24" s="15"/>
      <c r="AS24" s="15"/>
      <c r="AT24" s="15"/>
      <c r="AU24" s="14"/>
      <c r="AV24" s="14"/>
      <c r="AW24" s="14"/>
      <c r="AX24" s="14"/>
    </row>
    <row r="25" spans="1:50" s="13" customFormat="1" ht="13" x14ac:dyDescent="0.3">
      <c r="A25" s="20">
        <v>0</v>
      </c>
      <c r="B25" s="20">
        <v>1</v>
      </c>
      <c r="C25" s="20" t="s">
        <v>36</v>
      </c>
      <c r="D25" s="17">
        <f>Baseline!AN24</f>
        <v>0.42413880257562148</v>
      </c>
      <c r="E25" s="17">
        <f>Baseline!AO24</f>
        <v>1.009895042702271</v>
      </c>
      <c r="F25" s="17">
        <f>Baseline!AP24</f>
        <v>1.8417249509873066</v>
      </c>
      <c r="G25" s="17">
        <f>Baseline!AQ24</f>
        <v>3.3587161553076208</v>
      </c>
      <c r="H25" s="17">
        <f>Baseline!AR24</f>
        <v>7.99726592919881</v>
      </c>
      <c r="I25" s="17">
        <f>IF((D25+'Non travel METs'!C25)&gt;2.5,(D25+'Non travel METs'!C25),0.1)</f>
        <v>41.424138802575619</v>
      </c>
      <c r="J25" s="17">
        <f>IF((E25+'Non travel METs'!D25)&gt;2.5,(E25+'Non travel METs'!D25),0.1)</f>
        <v>32.259895042702269</v>
      </c>
      <c r="K25" s="17">
        <f>IF((F25+'Non travel METs'!E25)&gt;2.5,(F25+'Non travel METs'!E25),0.1)</f>
        <v>45.925058284320606</v>
      </c>
      <c r="L25" s="17">
        <f>IF((G25+'Non travel METs'!F25)&gt;2.5,(G25+'Non travel METs'!F25),0.1)</f>
        <v>45.858716155307619</v>
      </c>
      <c r="M25" s="17">
        <f>IF((H25+'Non travel METs'!G25)&gt;2.5,(H25+'Non travel METs'!G25),0.1)</f>
        <v>40.797265929198808</v>
      </c>
      <c r="N25" s="19">
        <f>'Phy activity RRs'!$O$4</f>
        <v>0.89073615217571622</v>
      </c>
      <c r="O25" s="15">
        <f t="shared" si="7"/>
        <v>0.74561647748110937</v>
      </c>
      <c r="P25" s="15">
        <f t="shared" si="22"/>
        <v>0.75899787303957222</v>
      </c>
      <c r="Q25" s="15">
        <f t="shared" si="23"/>
        <v>0.7399209590117144</v>
      </c>
      <c r="R25" s="15">
        <f t="shared" si="24"/>
        <v>0.74000149615119426</v>
      </c>
      <c r="S25" s="15">
        <f t="shared" si="25"/>
        <v>0.74644972993486458</v>
      </c>
      <c r="T25" s="18">
        <f t="shared" si="26"/>
        <v>1</v>
      </c>
      <c r="U25" s="18">
        <f t="shared" si="26"/>
        <v>1.0179467540788112</v>
      </c>
      <c r="V25" s="18">
        <f t="shared" si="26"/>
        <v>0.99236132966289059</v>
      </c>
      <c r="W25" s="183">
        <f t="shared" si="26"/>
        <v>0.99246934382554952</v>
      </c>
      <c r="X25" s="183">
        <f t="shared" si="26"/>
        <v>1.0011175349243491</v>
      </c>
      <c r="Y25" s="18"/>
      <c r="Z25" s="16"/>
      <c r="AA25" s="16"/>
      <c r="AB25" s="17">
        <f>GBDNZ!E230/($T25+$U25+$X25+V25+W25)</f>
        <v>541.88960947929797</v>
      </c>
      <c r="AC25" s="16">
        <f t="shared" si="27"/>
        <v>551.61476903848597</v>
      </c>
      <c r="AD25" s="16">
        <f t="shared" si="27"/>
        <v>537.75029339338062</v>
      </c>
      <c r="AE25" s="16">
        <f t="shared" si="27"/>
        <v>537.80882514580219</v>
      </c>
      <c r="AF25" s="16">
        <f t="shared" si="27"/>
        <v>542.49519004303295</v>
      </c>
      <c r="AG25" s="17">
        <f>GBDNZ!F230/($T25+$U25+$X25+V25+W25)</f>
        <v>12752.569341948318</v>
      </c>
      <c r="AH25" s="16">
        <f t="shared" si="28"/>
        <v>12981.436567801251</v>
      </c>
      <c r="AI25" s="16">
        <f t="shared" si="29"/>
        <v>12655.156668794047</v>
      </c>
      <c r="AJ25" s="16">
        <f t="shared" si="30"/>
        <v>12656.534126893266</v>
      </c>
      <c r="AK25" s="16">
        <f t="shared" si="31"/>
        <v>12766.820783563127</v>
      </c>
      <c r="AL25" s="17">
        <f>GBDNZ!G230/($T25+$U25+$X25+V25+W25)</f>
        <v>8408.3981551142788</v>
      </c>
      <c r="AM25" s="16">
        <f t="shared" si="32"/>
        <v>8559.3016090008441</v>
      </c>
      <c r="AN25" s="16">
        <f t="shared" si="33"/>
        <v>8344.1691735442018</v>
      </c>
      <c r="AO25" s="16">
        <f t="shared" si="34"/>
        <v>8345.0773996302287</v>
      </c>
      <c r="AP25" s="16">
        <f t="shared" si="35"/>
        <v>8417.7948337104517</v>
      </c>
      <c r="AQ25" s="15"/>
      <c r="AR25" s="15"/>
      <c r="AS25" s="15"/>
      <c r="AT25" s="15"/>
      <c r="AU25" s="14"/>
      <c r="AV25" s="14"/>
      <c r="AW25" s="14"/>
      <c r="AX25" s="14"/>
    </row>
    <row r="26" spans="1:50" s="13" customFormat="1" ht="13" x14ac:dyDescent="0.3">
      <c r="A26" s="20">
        <v>0</v>
      </c>
      <c r="B26" s="20">
        <v>1</v>
      </c>
      <c r="C26" s="20" t="s">
        <v>35</v>
      </c>
      <c r="D26" s="17">
        <f>Baseline!AN25</f>
        <v>0.51496682448345821</v>
      </c>
      <c r="E26" s="17">
        <f>Baseline!AO25</f>
        <v>1.2261609643914881</v>
      </c>
      <c r="F26" s="17">
        <f>Baseline!AP25</f>
        <v>2.2361246927243523</v>
      </c>
      <c r="G26" s="17">
        <f>Baseline!AQ25</f>
        <v>4.0779749042924998</v>
      </c>
      <c r="H26" s="17">
        <f>Baseline!AR25</f>
        <v>9.7098558658164578</v>
      </c>
      <c r="I26" s="17">
        <f>IF((D26+'Non travel METs'!C26)&gt;2.5,(D26+'Non travel METs'!C26),0.1)</f>
        <v>4.8899668244834587</v>
      </c>
      <c r="J26" s="17">
        <f>IF((E26+'Non travel METs'!D26)&gt;2.5,(E26+'Non travel METs'!D26),0.1)</f>
        <v>6.2261609643914877</v>
      </c>
      <c r="K26" s="17">
        <f>IF((F26+'Non travel METs'!E26)&gt;2.5,(F26+'Non travel METs'!E26),0.1)</f>
        <v>10.569458026057683</v>
      </c>
      <c r="L26" s="17">
        <f>IF((G26+'Non travel METs'!F26)&gt;2.5,(G26+'Non travel METs'!F26),0.1)</f>
        <v>7.8279749042924998</v>
      </c>
      <c r="M26" s="17">
        <f>IF((H26+'Non travel METs'!G26)&gt;2.5,(H26+'Non travel METs'!G26),0.1)</f>
        <v>22.834855865816458</v>
      </c>
      <c r="N26" s="19">
        <f>'Phy activity RRs'!$O$4</f>
        <v>0.89073615217571622</v>
      </c>
      <c r="O26" s="15">
        <f t="shared" si="7"/>
        <v>0.84192656402152766</v>
      </c>
      <c r="P26" s="15">
        <f t="shared" si="22"/>
        <v>0.8329562488805784</v>
      </c>
      <c r="Q26" s="15">
        <f t="shared" si="23"/>
        <v>0.81169701511805947</v>
      </c>
      <c r="R26" s="15">
        <f t="shared" si="24"/>
        <v>0.82403638516389655</v>
      </c>
      <c r="S26" s="15">
        <f t="shared" si="25"/>
        <v>0.77651819498852581</v>
      </c>
      <c r="T26" s="18">
        <f t="shared" si="26"/>
        <v>1</v>
      </c>
      <c r="U26" s="18">
        <f t="shared" si="26"/>
        <v>0.98934548982740034</v>
      </c>
      <c r="V26" s="18">
        <f t="shared" si="26"/>
        <v>0.96409479140428311</v>
      </c>
      <c r="W26" s="183">
        <f t="shared" si="26"/>
        <v>0.9787509034372579</v>
      </c>
      <c r="X26" s="183">
        <f t="shared" si="26"/>
        <v>0.92231107577770954</v>
      </c>
      <c r="Y26" s="18"/>
      <c r="Z26" s="16"/>
      <c r="AA26" s="16"/>
      <c r="AB26" s="17">
        <f>GBDNZ!E232/($T26+$U26+$X26+V26+W26)</f>
        <v>794.66482886034589</v>
      </c>
      <c r="AC26" s="16">
        <f t="shared" si="27"/>
        <v>786.19806435744613</v>
      </c>
      <c r="AD26" s="16">
        <f t="shared" si="27"/>
        <v>766.13222241643552</v>
      </c>
      <c r="AE26" s="16">
        <f t="shared" si="27"/>
        <v>777.77891917687748</v>
      </c>
      <c r="AF26" s="16">
        <f t="shared" si="27"/>
        <v>732.92817318889502</v>
      </c>
      <c r="AG26" s="17">
        <f>GBDNZ!F232/($T26+$U26+$X26+V26+W26)</f>
        <v>11975.411605978152</v>
      </c>
      <c r="AH26" s="16">
        <f t="shared" si="28"/>
        <v>11847.81946120119</v>
      </c>
      <c r="AI26" s="16">
        <f t="shared" si="29"/>
        <v>11545.431954245938</v>
      </c>
      <c r="AJ26" s="16">
        <f t="shared" si="30"/>
        <v>11720.94492838414</v>
      </c>
      <c r="AK26" s="16">
        <f t="shared" si="31"/>
        <v>11045.054761190577</v>
      </c>
      <c r="AL26" s="17">
        <f>GBDNZ!G232/($T26+$U26+$X26+V26+W26)</f>
        <v>5741.1763599499682</v>
      </c>
      <c r="AM26" s="16">
        <f t="shared" si="32"/>
        <v>5680.0069380201921</v>
      </c>
      <c r="AN26" s="16">
        <f t="shared" si="33"/>
        <v>5535.0382251611663</v>
      </c>
      <c r="AO26" s="16">
        <f t="shared" si="34"/>
        <v>5619.1815490936588</v>
      </c>
      <c r="AP26" s="16">
        <f t="shared" si="35"/>
        <v>5295.1505447750096</v>
      </c>
      <c r="AQ26" s="15"/>
      <c r="AR26" s="15"/>
      <c r="AS26" s="15"/>
      <c r="AT26" s="15"/>
      <c r="AU26" s="14"/>
      <c r="AV26" s="14"/>
      <c r="AW26" s="14"/>
      <c r="AX26" s="14"/>
    </row>
    <row r="27" spans="1:50" s="13" customFormat="1" ht="13" x14ac:dyDescent="0.3">
      <c r="A27" s="20">
        <v>0</v>
      </c>
      <c r="B27" s="20">
        <v>1</v>
      </c>
      <c r="C27" s="20" t="s">
        <v>34</v>
      </c>
      <c r="D27" s="17">
        <f>Baseline!AN26</f>
        <v>0.25245260283815635</v>
      </c>
      <c r="E27" s="17">
        <f>Baseline!AO26</f>
        <v>0.60110188121277408</v>
      </c>
      <c r="F27" s="17">
        <f>Baseline!AP26</f>
        <v>1.096217216546284</v>
      </c>
      <c r="G27" s="17">
        <f>Baseline!AQ26</f>
        <v>1.9991489353318384</v>
      </c>
      <c r="H27" s="17">
        <f>Baseline!AR26</f>
        <v>4.7600704937982714</v>
      </c>
      <c r="I27" s="17">
        <f>IF((D27+'Non travel METs'!C27)&gt;2.5,(D27+'Non travel METs'!C27),0.1)</f>
        <v>0.1</v>
      </c>
      <c r="J27" s="17">
        <f>IF((E27+'Non travel METs'!D27)&gt;2.5,(E27+'Non travel METs'!D27),0.1)</f>
        <v>10.601101881212774</v>
      </c>
      <c r="K27" s="17">
        <f>IF((F27+'Non travel METs'!E27)&gt;2.5,(F27+'Non travel METs'!E27),0.1)</f>
        <v>4.8462172165462842</v>
      </c>
      <c r="L27" s="17">
        <f>IF((G27+'Non travel METs'!F27)&gt;2.5,(G27+'Non travel METs'!F27),0.1)</f>
        <v>7.2074822686651689</v>
      </c>
      <c r="M27" s="17">
        <f>IF((H27+'Non travel METs'!G27)&gt;2.5,(H27+'Non travel METs'!G27),0.1)</f>
        <v>4.7600704937982714</v>
      </c>
      <c r="N27" s="19">
        <f>'Phy activity RRs'!$O$4</f>
        <v>0.89073615217571622</v>
      </c>
      <c r="O27" s="15">
        <f t="shared" si="7"/>
        <v>0.93700483239712185</v>
      </c>
      <c r="P27" s="15">
        <f t="shared" si="22"/>
        <v>0.81157041834415744</v>
      </c>
      <c r="Q27" s="15">
        <f t="shared" si="23"/>
        <v>0.84225173725274738</v>
      </c>
      <c r="R27" s="15">
        <f t="shared" si="24"/>
        <v>0.82730180286446575</v>
      </c>
      <c r="S27" s="15">
        <f t="shared" si="25"/>
        <v>0.84289889571822785</v>
      </c>
      <c r="T27" s="18">
        <f t="shared" si="26"/>
        <v>1</v>
      </c>
      <c r="U27" s="18">
        <f t="shared" si="26"/>
        <v>0.86613258574977903</v>
      </c>
      <c r="V27" s="18">
        <f t="shared" si="26"/>
        <v>0.89887662062321561</v>
      </c>
      <c r="W27" s="183">
        <f t="shared" si="26"/>
        <v>0.8829215968374412</v>
      </c>
      <c r="X27" s="183">
        <f t="shared" si="26"/>
        <v>0.89956728778212958</v>
      </c>
      <c r="Y27" s="18"/>
      <c r="Z27" s="16"/>
      <c r="AA27" s="16"/>
      <c r="AB27" s="17">
        <f>GBDNZ!E234/($T27+$U27+$X27+V27+W27)</f>
        <v>1709.7741170250688</v>
      </c>
      <c r="AC27" s="16">
        <f t="shared" si="27"/>
        <v>1480.8910770269681</v>
      </c>
      <c r="AD27" s="16">
        <f t="shared" si="27"/>
        <v>1536.8759803405362</v>
      </c>
      <c r="AE27" s="16">
        <f t="shared" si="27"/>
        <v>1509.5964936350997</v>
      </c>
      <c r="AF27" s="16">
        <f t="shared" si="27"/>
        <v>1538.0568651723265</v>
      </c>
      <c r="AG27" s="17">
        <f>GBDNZ!F234/($T27+$U27+$X27+V27+W27)</f>
        <v>11164.489445869896</v>
      </c>
      <c r="AH27" s="16">
        <f t="shared" si="28"/>
        <v>9669.9281123274104</v>
      </c>
      <c r="AI27" s="16">
        <f t="shared" si="29"/>
        <v>10035.49854408709</v>
      </c>
      <c r="AJ27" s="16">
        <f t="shared" si="30"/>
        <v>9857.3688494222079</v>
      </c>
      <c r="AK27" s="16">
        <f t="shared" si="31"/>
        <v>10043.209490293393</v>
      </c>
      <c r="AL27" s="17">
        <f>GBDNZ!G234/($T27+$U27+$X27+V27+W27)</f>
        <v>5146.0461666498932</v>
      </c>
      <c r="AM27" s="16">
        <f t="shared" si="32"/>
        <v>4457.1582727082105</v>
      </c>
      <c r="AN27" s="16">
        <f t="shared" si="33"/>
        <v>4625.6605878493092</v>
      </c>
      <c r="AO27" s="16">
        <f t="shared" si="34"/>
        <v>4543.5552988577165</v>
      </c>
      <c r="AP27" s="16">
        <f t="shared" si="35"/>
        <v>4629.2147929348694</v>
      </c>
      <c r="AQ27" s="15"/>
      <c r="AR27" s="15"/>
      <c r="AS27" s="15"/>
      <c r="AT27" s="15"/>
      <c r="AU27" s="14"/>
      <c r="AV27" s="14"/>
      <c r="AW27" s="14"/>
      <c r="AX27" s="14"/>
    </row>
    <row r="28" spans="1:50" s="13" customFormat="1" ht="13" x14ac:dyDescent="0.3">
      <c r="A28" s="20">
        <v>0</v>
      </c>
      <c r="B28" s="20">
        <v>2</v>
      </c>
      <c r="C28" s="20" t="s">
        <v>2</v>
      </c>
      <c r="D28" s="17"/>
      <c r="E28" s="17"/>
      <c r="F28" s="17"/>
      <c r="G28" s="17"/>
      <c r="H28" s="17"/>
      <c r="I28" s="17"/>
      <c r="J28" s="17"/>
      <c r="K28" s="17"/>
      <c r="L28" s="17"/>
      <c r="M28" s="17"/>
      <c r="N28" s="19"/>
      <c r="O28" s="15"/>
      <c r="P28" s="15"/>
      <c r="Q28" s="15"/>
      <c r="R28" s="15"/>
      <c r="S28" s="15"/>
      <c r="T28" s="18"/>
      <c r="U28" s="18"/>
      <c r="V28" s="18"/>
      <c r="W28" s="183"/>
      <c r="X28" s="183"/>
      <c r="Y28" s="18"/>
      <c r="Z28" s="16"/>
      <c r="AA28" s="16"/>
      <c r="AB28" s="17"/>
      <c r="AC28" s="16"/>
      <c r="AD28" s="16"/>
      <c r="AE28" s="16"/>
      <c r="AF28" s="16"/>
      <c r="AG28" s="17"/>
      <c r="AH28" s="16"/>
      <c r="AI28" s="16"/>
      <c r="AJ28" s="16"/>
      <c r="AK28" s="16"/>
      <c r="AL28" s="17"/>
      <c r="AM28" s="16"/>
      <c r="AN28" s="16"/>
      <c r="AO28" s="16"/>
      <c r="AP28" s="16"/>
      <c r="AQ28" s="15"/>
      <c r="AR28" s="15"/>
      <c r="AS28" s="15"/>
      <c r="AT28" s="15"/>
      <c r="AU28" s="14"/>
      <c r="AV28" s="14"/>
      <c r="AW28" s="14"/>
      <c r="AX28" s="14"/>
    </row>
    <row r="29" spans="1:50" s="13" customFormat="1" ht="13" x14ac:dyDescent="0.3">
      <c r="A29" s="20">
        <v>0</v>
      </c>
      <c r="B29" s="20">
        <v>2</v>
      </c>
      <c r="C29" s="20" t="s">
        <v>40</v>
      </c>
      <c r="D29" s="17"/>
      <c r="E29" s="17"/>
      <c r="F29" s="17"/>
      <c r="G29" s="17"/>
      <c r="H29" s="17"/>
      <c r="I29" s="17"/>
      <c r="J29" s="17"/>
      <c r="K29" s="17"/>
      <c r="L29" s="17"/>
      <c r="M29" s="17"/>
      <c r="N29" s="19"/>
      <c r="O29" s="15"/>
      <c r="P29" s="15"/>
      <c r="Q29" s="15"/>
      <c r="R29" s="15"/>
      <c r="S29" s="15"/>
      <c r="T29" s="18"/>
      <c r="U29" s="18"/>
      <c r="V29" s="18"/>
      <c r="W29" s="183"/>
      <c r="X29" s="183"/>
      <c r="Y29" s="18"/>
      <c r="Z29" s="16"/>
      <c r="AA29" s="16"/>
      <c r="AB29" s="17"/>
      <c r="AC29" s="16"/>
      <c r="AD29" s="16"/>
      <c r="AE29" s="16"/>
      <c r="AF29" s="16"/>
      <c r="AG29" s="17"/>
      <c r="AH29" s="16"/>
      <c r="AI29" s="16"/>
      <c r="AJ29" s="16"/>
      <c r="AK29" s="16"/>
      <c r="AL29" s="17"/>
      <c r="AM29" s="16"/>
      <c r="AN29" s="16"/>
      <c r="AO29" s="16"/>
      <c r="AP29" s="16"/>
      <c r="AQ29" s="15"/>
      <c r="AR29" s="15"/>
      <c r="AS29" s="15"/>
      <c r="AT29" s="15"/>
      <c r="AU29" s="14"/>
      <c r="AV29" s="14"/>
      <c r="AW29" s="14"/>
      <c r="AX29" s="14"/>
    </row>
    <row r="30" spans="1:50" s="13" customFormat="1" ht="13" x14ac:dyDescent="0.3">
      <c r="A30" s="20">
        <v>0</v>
      </c>
      <c r="B30" s="20">
        <v>2</v>
      </c>
      <c r="C30" s="20" t="s">
        <v>39</v>
      </c>
      <c r="D30" s="17">
        <f>Baseline!AN29</f>
        <v>0.38786520725769708</v>
      </c>
      <c r="E30" s="17">
        <f>Baseline!AO29</f>
        <v>0.9235258544315782</v>
      </c>
      <c r="F30" s="17">
        <f>Baseline!AP29</f>
        <v>1.6842152273936337</v>
      </c>
      <c r="G30" s="17">
        <f>Baseline!AQ29</f>
        <v>3.0714688912856469</v>
      </c>
      <c r="H30" s="17">
        <f>Baseline!AR29</f>
        <v>7.3133162735578114</v>
      </c>
      <c r="I30" s="17">
        <f>IF((D30+'Non travel METs'!C30)&gt;2.5,(D30+'Non travel METs'!C30),0.1)</f>
        <v>9.2545318739243676</v>
      </c>
      <c r="J30" s="17">
        <f>IF((E30+'Non travel METs'!D30)&gt;2.5,(E30+'Non travel METs'!D30),0.1)</f>
        <v>25.523525854431579</v>
      </c>
      <c r="K30" s="17">
        <f>IF((F30+'Non travel METs'!E30)&gt;2.5,(F30+'Non travel METs'!E30),0.1)</f>
        <v>31.534215227393634</v>
      </c>
      <c r="L30" s="17">
        <f>IF((G30+'Non travel METs'!F30)&gt;2.5,(G30+'Non travel METs'!F30),0.1)</f>
        <v>33.471468891285646</v>
      </c>
      <c r="M30" s="17">
        <f>IF((H30+'Non travel METs'!G30)&gt;2.5,(H30+'Non travel METs'!G30),0.1)</f>
        <v>48.31331627355781</v>
      </c>
      <c r="N30" s="19">
        <f>'Phy activity RRs'!$O$4</f>
        <v>0.89073615217571622</v>
      </c>
      <c r="O30" s="15">
        <f t="shared" si="7"/>
        <v>0.81724804757826119</v>
      </c>
      <c r="P30" s="15">
        <f t="shared" ref="P30:P35" si="36">$N30^(J30^0.25)</f>
        <v>0.77099548044578259</v>
      </c>
      <c r="Q30" s="15">
        <f t="shared" ref="Q30:Q35" si="37">$N30^(K30^0.25)</f>
        <v>0.76018589465655106</v>
      </c>
      <c r="R30" s="15">
        <f t="shared" ref="R30:R35" si="38">$N30^(L30^0.25)</f>
        <v>0.75706229310513962</v>
      </c>
      <c r="S30" s="15">
        <f t="shared" ref="S30:S35" si="39">$N30^(M30^0.25)</f>
        <v>0.73708372608790484</v>
      </c>
      <c r="T30" s="18">
        <f t="shared" ref="T30:X35" si="40">O30/$O30</f>
        <v>1</v>
      </c>
      <c r="U30" s="18">
        <f t="shared" si="40"/>
        <v>0.94340449356894995</v>
      </c>
      <c r="V30" s="18">
        <f t="shared" si="40"/>
        <v>0.93017768217274843</v>
      </c>
      <c r="W30" s="183">
        <f t="shared" si="40"/>
        <v>0.92635558487845993</v>
      </c>
      <c r="X30" s="183">
        <f t="shared" si="40"/>
        <v>0.90190943651941891</v>
      </c>
      <c r="Y30" s="18"/>
      <c r="Z30" s="16"/>
      <c r="AA30" s="16"/>
      <c r="AB30" s="17">
        <f>GBDNZ!E225/($T30+$U30+$X30+V30+W30)</f>
        <v>35.737277811840357</v>
      </c>
      <c r="AC30" s="16">
        <f t="shared" ref="AC30:AF35" si="41">$AB30*U30</f>
        <v>33.714708475612127</v>
      </c>
      <c r="AD30" s="16">
        <f t="shared" si="41"/>
        <v>33.242018242181253</v>
      </c>
      <c r="AE30" s="16">
        <f t="shared" si="41"/>
        <v>33.105426889351385</v>
      </c>
      <c r="AF30" s="16">
        <f t="shared" si="41"/>
        <v>32.231788094014867</v>
      </c>
      <c r="AG30" s="17">
        <f>GBDNZ!F225/($T30+$U30+$X30+V30+W30)</f>
        <v>2303.6491795797638</v>
      </c>
      <c r="AH30" s="16">
        <f t="shared" ref="AH30:AK35" si="42">$AG30*U30</f>
        <v>2173.2729876219742</v>
      </c>
      <c r="AI30" s="16">
        <f t="shared" si="42"/>
        <v>2142.8030544006583</v>
      </c>
      <c r="AJ30" s="16">
        <f t="shared" si="42"/>
        <v>2133.9982831043963</v>
      </c>
      <c r="AK30" s="16">
        <f t="shared" si="42"/>
        <v>2077.6829334932063</v>
      </c>
      <c r="AL30" s="17">
        <f>GBDNZ!G225/($T30+$U30+$X30+V30+W30)</f>
        <v>10515.277222764307</v>
      </c>
      <c r="AM30" s="16">
        <f t="shared" ref="AM30:AP35" si="43">U30*$AL30</f>
        <v>9920.1597830790761</v>
      </c>
      <c r="AN30" s="16">
        <f t="shared" si="43"/>
        <v>9781.0761944747992</v>
      </c>
      <c r="AO30" s="16">
        <f t="shared" si="43"/>
        <v>9740.8857818529777</v>
      </c>
      <c r="AP30" s="16">
        <f t="shared" si="43"/>
        <v>9483.827754828837</v>
      </c>
      <c r="AQ30" s="15"/>
      <c r="AR30" s="15"/>
      <c r="AS30" s="15"/>
      <c r="AT30" s="15"/>
      <c r="AU30" s="14"/>
      <c r="AV30" s="14"/>
      <c r="AW30" s="14"/>
      <c r="AX30" s="14"/>
    </row>
    <row r="31" spans="1:50" s="13" customFormat="1" ht="13" x14ac:dyDescent="0.3">
      <c r="A31" s="20">
        <v>0</v>
      </c>
      <c r="B31" s="20">
        <v>2</v>
      </c>
      <c r="C31" s="20" t="s">
        <v>38</v>
      </c>
      <c r="D31" s="17">
        <f>Baseline!AN30</f>
        <v>0.32214184162495779</v>
      </c>
      <c r="E31" s="17">
        <f>Baseline!AO30</f>
        <v>0.76703533590520923</v>
      </c>
      <c r="F31" s="17">
        <f>Baseline!AP30</f>
        <v>1.3988266668242526</v>
      </c>
      <c r="G31" s="17">
        <f>Baseline!AQ30</f>
        <v>2.5510116056249852</v>
      </c>
      <c r="H31" s="17">
        <f>Baseline!AR30</f>
        <v>6.0740822550356066</v>
      </c>
      <c r="I31" s="17">
        <f>IF((D31+'Non travel METs'!C31)&gt;2.5,(D31+'Non travel METs'!C31),0.1)</f>
        <v>41.322141841624955</v>
      </c>
      <c r="J31" s="17">
        <f>IF((E31+'Non travel METs'!D31)&gt;2.5,(E31+'Non travel METs'!D31),0.1)</f>
        <v>36.642035335905206</v>
      </c>
      <c r="K31" s="17">
        <f>IF((F31+'Non travel METs'!E31)&gt;2.5,(F31+'Non travel METs'!E31),0.1)</f>
        <v>40.248826666824257</v>
      </c>
      <c r="L31" s="17">
        <f>IF((G31+'Non travel METs'!F31)&gt;2.5,(G31+'Non travel METs'!F31),0.1)</f>
        <v>43.551011605624986</v>
      </c>
      <c r="M31" s="17">
        <f>IF((H31+'Non travel METs'!G31)&gt;2.5,(H31+'Non travel METs'!G31),0.1)</f>
        <v>48.340748921702307</v>
      </c>
      <c r="N31" s="19">
        <f>'Phy activity RRs'!$O$4</f>
        <v>0.89073615217571622</v>
      </c>
      <c r="O31" s="15">
        <f t="shared" si="7"/>
        <v>0.74575134364464835</v>
      </c>
      <c r="P31" s="15">
        <f t="shared" si="36"/>
        <v>0.75225609518643866</v>
      </c>
      <c r="Q31" s="15">
        <f t="shared" si="37"/>
        <v>0.74718741521784793</v>
      </c>
      <c r="R31" s="15">
        <f t="shared" si="38"/>
        <v>0.74286467562590686</v>
      </c>
      <c r="S31" s="15">
        <f t="shared" si="39"/>
        <v>0.73705181568512068</v>
      </c>
      <c r="T31" s="18">
        <f t="shared" si="40"/>
        <v>1</v>
      </c>
      <c r="U31" s="18">
        <f t="shared" si="40"/>
        <v>1.0087224134387747</v>
      </c>
      <c r="V31" s="18">
        <f t="shared" si="40"/>
        <v>1.001925670782142</v>
      </c>
      <c r="W31" s="183">
        <f t="shared" si="40"/>
        <v>0.99612918160544817</v>
      </c>
      <c r="X31" s="183">
        <f t="shared" si="40"/>
        <v>0.98833454604719695</v>
      </c>
      <c r="Y31" s="18"/>
      <c r="Z31" s="16"/>
      <c r="AA31" s="16"/>
      <c r="AB31" s="17">
        <f>GBDNZ!E227/($T31+$U31+$X31+V31+W31)</f>
        <v>66.719664925377643</v>
      </c>
      <c r="AC31" s="16">
        <f t="shared" si="41"/>
        <v>67.301621427353297</v>
      </c>
      <c r="AD31" s="16">
        <f t="shared" si="41"/>
        <v>66.84814503471874</v>
      </c>
      <c r="AE31" s="16">
        <f t="shared" si="41"/>
        <v>66.461405219106155</v>
      </c>
      <c r="AF31" s="16">
        <f t="shared" si="41"/>
        <v>65.941349746444203</v>
      </c>
      <c r="AG31" s="17">
        <f>GBDNZ!F227/($T31+$U31+$X31+V31+W31)</f>
        <v>3201.2340072528414</v>
      </c>
      <c r="AH31" s="16">
        <f t="shared" si="42"/>
        <v>3229.156493778366</v>
      </c>
      <c r="AI31" s="16">
        <f t="shared" si="42"/>
        <v>3207.3985300474073</v>
      </c>
      <c r="AJ31" s="16">
        <f t="shared" si="42"/>
        <v>3188.842611772302</v>
      </c>
      <c r="AK31" s="16">
        <f t="shared" si="42"/>
        <v>3163.8901593490859</v>
      </c>
      <c r="AL31" s="17">
        <f>GBDNZ!G227/($T31+$U31+$X31+V31+W31)</f>
        <v>11566.264600257246</v>
      </c>
      <c r="AM31" s="16">
        <f t="shared" si="43"/>
        <v>11667.150342042953</v>
      </c>
      <c r="AN31" s="16">
        <f t="shared" si="43"/>
        <v>11588.537418056485</v>
      </c>
      <c r="AO31" s="16">
        <f t="shared" si="43"/>
        <v>11521.493690486315</v>
      </c>
      <c r="AP31" s="16">
        <f t="shared" si="43"/>
        <v>11431.338873157008</v>
      </c>
      <c r="AQ31" s="15"/>
      <c r="AR31" s="15"/>
      <c r="AS31" s="15"/>
      <c r="AT31" s="15"/>
      <c r="AU31" s="14"/>
      <c r="AV31" s="14"/>
      <c r="AW31" s="14"/>
      <c r="AX31" s="14"/>
    </row>
    <row r="32" spans="1:50" s="13" customFormat="1" ht="13" x14ac:dyDescent="0.3">
      <c r="A32" s="20">
        <v>0</v>
      </c>
      <c r="B32" s="20">
        <v>2</v>
      </c>
      <c r="C32" s="20" t="s">
        <v>37</v>
      </c>
      <c r="D32" s="17">
        <f>Baseline!AN31</f>
        <v>0.46307739299727485</v>
      </c>
      <c r="E32" s="17">
        <f>Baseline!AO31</f>
        <v>1.1026097134606268</v>
      </c>
      <c r="F32" s="17">
        <f>Baseline!AP31</f>
        <v>2.0108068013163582</v>
      </c>
      <c r="G32" s="17">
        <f>Baseline!AQ31</f>
        <v>3.6670672703669323</v>
      </c>
      <c r="H32" s="17">
        <f>Baseline!AR31</f>
        <v>8.7314648768524989</v>
      </c>
      <c r="I32" s="17">
        <f>IF((D32+'Non travel METs'!C32)&gt;2.5,(D32+'Non travel METs'!C32),0.1)</f>
        <v>42.113077392997276</v>
      </c>
      <c r="J32" s="17">
        <f>IF((E32+'Non travel METs'!D32)&gt;2.5,(E32+'Non travel METs'!D32),0.1)</f>
        <v>44.15260971346062</v>
      </c>
      <c r="K32" s="17">
        <f>IF((F32+'Non travel METs'!E32)&gt;2.5,(F32+'Non travel METs'!E32),0.1)</f>
        <v>48.077473467983054</v>
      </c>
      <c r="L32" s="17">
        <f>IF((G32+'Non travel METs'!F32)&gt;2.5,(G32+'Non travel METs'!F32),0.1)</f>
        <v>44.667067270366935</v>
      </c>
      <c r="M32" s="17">
        <f>IF((H32+'Non travel METs'!G32)&gt;2.5,(H32+'Non travel METs'!G32),0.1)</f>
        <v>49.731464876852499</v>
      </c>
      <c r="N32" s="19">
        <f>'Phy activity RRs'!$O$4</f>
        <v>0.89073615217571622</v>
      </c>
      <c r="O32" s="15">
        <f t="shared" si="7"/>
        <v>0.74471261715671844</v>
      </c>
      <c r="P32" s="15">
        <f t="shared" si="36"/>
        <v>0.74210643338398663</v>
      </c>
      <c r="Q32" s="15">
        <f t="shared" si="37"/>
        <v>0.73735868422599649</v>
      </c>
      <c r="R32" s="15">
        <f t="shared" si="38"/>
        <v>0.74146474906042092</v>
      </c>
      <c r="S32" s="15">
        <f t="shared" si="39"/>
        <v>0.73545337346092099</v>
      </c>
      <c r="T32" s="18">
        <f t="shared" si="40"/>
        <v>1</v>
      </c>
      <c r="U32" s="18">
        <f t="shared" si="40"/>
        <v>0.99650041678804624</v>
      </c>
      <c r="V32" s="18">
        <f t="shared" si="40"/>
        <v>0.99012513987100292</v>
      </c>
      <c r="W32" s="183">
        <f t="shared" si="40"/>
        <v>0.99563876316652489</v>
      </c>
      <c r="X32" s="183">
        <f t="shared" si="40"/>
        <v>0.98756668883743526</v>
      </c>
      <c r="Y32" s="18"/>
      <c r="Z32" s="16"/>
      <c r="AA32" s="16"/>
      <c r="AB32" s="17">
        <f>GBDNZ!E229/($T32+$U32+$X32+V32+W32)</f>
        <v>245.06820897269381</v>
      </c>
      <c r="AC32" s="16">
        <f t="shared" si="41"/>
        <v>244.21057238278939</v>
      </c>
      <c r="AD32" s="16">
        <f t="shared" si="41"/>
        <v>242.64819468702464</v>
      </c>
      <c r="AE32" s="16">
        <f t="shared" si="41"/>
        <v>243.99940847300832</v>
      </c>
      <c r="AF32" s="16">
        <f t="shared" si="41"/>
        <v>242.02119967448388</v>
      </c>
      <c r="AG32" s="17">
        <f>GBDNZ!F229/($T32+$U32+$X32+V32+W32)</f>
        <v>8402.7933865772338</v>
      </c>
      <c r="AH32" s="16">
        <f t="shared" si="42"/>
        <v>8373.3871119080522</v>
      </c>
      <c r="AI32" s="16">
        <f t="shared" si="42"/>
        <v>8319.816977191922</v>
      </c>
      <c r="AJ32" s="16">
        <f t="shared" si="42"/>
        <v>8366.1468145556119</v>
      </c>
      <c r="AK32" s="16">
        <f t="shared" si="42"/>
        <v>8298.3188417671772</v>
      </c>
      <c r="AL32" s="17">
        <f>GBDNZ!G229/($T32+$U32+$X32+V32+W32)</f>
        <v>14458.27876818101</v>
      </c>
      <c r="AM32" s="16">
        <f t="shared" si="43"/>
        <v>14407.680818530136</v>
      </c>
      <c r="AN32" s="16">
        <f t="shared" si="43"/>
        <v>14315.505287639175</v>
      </c>
      <c r="AO32" s="16">
        <f t="shared" si="43"/>
        <v>14395.222790268568</v>
      </c>
      <c r="AP32" s="16">
        <f t="shared" si="43"/>
        <v>14278.514489381112</v>
      </c>
      <c r="AQ32" s="15"/>
      <c r="AR32" s="15"/>
      <c r="AS32" s="15"/>
      <c r="AT32" s="15"/>
      <c r="AU32" s="14"/>
      <c r="AV32" s="14"/>
      <c r="AW32" s="14"/>
      <c r="AX32" s="14"/>
    </row>
    <row r="33" spans="1:50" s="13" customFormat="1" ht="13" x14ac:dyDescent="0.3">
      <c r="A33" s="20">
        <v>0</v>
      </c>
      <c r="B33" s="20">
        <v>2</v>
      </c>
      <c r="C33" s="20" t="s">
        <v>36</v>
      </c>
      <c r="D33" s="17">
        <f>Baseline!AN32</f>
        <v>0.35634958562049185</v>
      </c>
      <c r="E33" s="17">
        <f>Baseline!AO32</f>
        <v>0.8484856320661196</v>
      </c>
      <c r="F33" s="17">
        <f>Baseline!AP32</f>
        <v>1.5473659074006401</v>
      </c>
      <c r="G33" s="17">
        <f>Baseline!AQ32</f>
        <v>2.8218995830906697</v>
      </c>
      <c r="H33" s="17">
        <f>Baseline!AR32</f>
        <v>6.7190796566149293</v>
      </c>
      <c r="I33" s="17">
        <f>IF((D33+'Non travel METs'!C33)&gt;2.5,(D33+'Non travel METs'!C33),0.1)</f>
        <v>33.15634958562049</v>
      </c>
      <c r="J33" s="17">
        <f>IF((E33+'Non travel METs'!D33)&gt;2.5,(E33+'Non travel METs'!D33),0.1)</f>
        <v>18.848485632066119</v>
      </c>
      <c r="K33" s="17">
        <f>IF((F33+'Non travel METs'!E33)&gt;2.5,(F33+'Non travel METs'!E33),0.1)</f>
        <v>33.297365907400639</v>
      </c>
      <c r="L33" s="17">
        <f>IF((G33+'Non travel METs'!F33)&gt;2.5,(G33+'Non travel METs'!F33),0.1)</f>
        <v>23.321899583090669</v>
      </c>
      <c r="M33" s="17">
        <f>IF((H33+'Non travel METs'!G33)&gt;2.5,(H33+'Non travel METs'!G33),0.1)</f>
        <v>11.21907965661493</v>
      </c>
      <c r="N33" s="19">
        <f>'Phy activity RRs'!$O$4</f>
        <v>0.89073615217571622</v>
      </c>
      <c r="O33" s="15">
        <f t="shared" si="7"/>
        <v>0.75756012420854479</v>
      </c>
      <c r="P33" s="15">
        <f t="shared" si="36"/>
        <v>0.78577106494824012</v>
      </c>
      <c r="Q33" s="15">
        <f t="shared" si="37"/>
        <v>0.75733686690201374</v>
      </c>
      <c r="R33" s="15">
        <f t="shared" si="38"/>
        <v>0.7754798649934308</v>
      </c>
      <c r="S33" s="15">
        <f t="shared" si="39"/>
        <v>0.80915686358667194</v>
      </c>
      <c r="T33" s="18">
        <f t="shared" si="40"/>
        <v>1</v>
      </c>
      <c r="U33" s="18">
        <f t="shared" si="40"/>
        <v>1.0372392102464059</v>
      </c>
      <c r="V33" s="18">
        <f t="shared" si="40"/>
        <v>0.99970529427381849</v>
      </c>
      <c r="W33" s="183">
        <f t="shared" si="40"/>
        <v>1.0236545459723181</v>
      </c>
      <c r="X33" s="183">
        <f t="shared" si="40"/>
        <v>1.068109101481592</v>
      </c>
      <c r="Y33" s="18"/>
      <c r="Z33" s="16"/>
      <c r="AA33" s="16"/>
      <c r="AB33" s="17">
        <f>GBDNZ!E231/($T33+$U33+$X33+V33+W33)</f>
        <v>366.23973418276756</v>
      </c>
      <c r="AC33" s="16">
        <f t="shared" si="41"/>
        <v>379.87821264458745</v>
      </c>
      <c r="AD33" s="16">
        <f t="shared" si="41"/>
        <v>366.13180123594873</v>
      </c>
      <c r="AE33" s="16">
        <f t="shared" si="41"/>
        <v>374.9029688118834</v>
      </c>
      <c r="AF33" s="16">
        <f t="shared" si="41"/>
        <v>391.18399340481295</v>
      </c>
      <c r="AG33" s="17">
        <f>GBDNZ!F231/($T33+$U33+$X33+V33+W33)</f>
        <v>8625.8340868882242</v>
      </c>
      <c r="AH33" s="16">
        <f t="shared" si="42"/>
        <v>8947.0533360004683</v>
      </c>
      <c r="AI33" s="16">
        <f t="shared" si="42"/>
        <v>8623.2920041897269</v>
      </c>
      <c r="AJ33" s="16">
        <f t="shared" si="42"/>
        <v>8829.8742758461103</v>
      </c>
      <c r="AK33" s="16">
        <f t="shared" si="42"/>
        <v>9213.3318960754696</v>
      </c>
      <c r="AL33" s="17">
        <f>GBDNZ!G231/($T33+$U33+$X33+V33+W33)</f>
        <v>8544.0844745928534</v>
      </c>
      <c r="AM33" s="16">
        <f t="shared" si="43"/>
        <v>8862.2594327052684</v>
      </c>
      <c r="AN33" s="16">
        <f t="shared" si="43"/>
        <v>8541.5664839732126</v>
      </c>
      <c r="AO33" s="16">
        <f t="shared" si="43"/>
        <v>8746.1909135884798</v>
      </c>
      <c r="AP33" s="16">
        <f t="shared" si="43"/>
        <v>9126.0143911401919</v>
      </c>
      <c r="AQ33" s="15"/>
      <c r="AR33" s="15"/>
      <c r="AS33" s="15"/>
      <c r="AT33" s="15"/>
      <c r="AU33" s="14"/>
      <c r="AV33" s="14"/>
      <c r="AW33" s="14"/>
      <c r="AX33" s="14"/>
    </row>
    <row r="34" spans="1:50" s="13" customFormat="1" ht="13" x14ac:dyDescent="0.3">
      <c r="A34" s="20">
        <v>0</v>
      </c>
      <c r="B34" s="20">
        <v>2</v>
      </c>
      <c r="C34" s="20" t="s">
        <v>35</v>
      </c>
      <c r="D34" s="17">
        <f>Baseline!AN33</f>
        <v>0.30903559868571595</v>
      </c>
      <c r="E34" s="17">
        <f>Baseline!AO33</f>
        <v>0.73582873633823809</v>
      </c>
      <c r="F34" s="17">
        <f>Baseline!AP33</f>
        <v>1.3419158289374042</v>
      </c>
      <c r="G34" s="17">
        <f>Baseline!AQ33</f>
        <v>2.4472244736104138</v>
      </c>
      <c r="H34" s="17">
        <f>Baseline!AR33</f>
        <v>5.8269600641836821</v>
      </c>
      <c r="I34" s="17">
        <f>IF((D34+'Non travel METs'!C34)&gt;2.5,(D34+'Non travel METs'!C34),0.1)</f>
        <v>6.1423689320190462</v>
      </c>
      <c r="J34" s="17">
        <f>IF((E34+'Non travel METs'!D34)&gt;2.5,(E34+'Non travel METs'!D34),0.1)</f>
        <v>5.7358287363382381</v>
      </c>
      <c r="K34" s="17">
        <f>IF((F34+'Non travel METs'!E34)&gt;2.5,(F34+'Non travel METs'!E34),0.1)</f>
        <v>3.8419158289374042</v>
      </c>
      <c r="L34" s="17">
        <f>IF((G34+'Non travel METs'!F34)&gt;2.5,(G34+'Non travel METs'!F34),0.1)</f>
        <v>6.1972244736104134</v>
      </c>
      <c r="M34" s="17">
        <f>IF((H34+'Non travel METs'!G34)&gt;2.5,(H34+'Non travel METs'!G34),0.1)</f>
        <v>5.8269600641836821</v>
      </c>
      <c r="N34" s="19">
        <f>'Phy activity RRs'!$O$4</f>
        <v>0.89073615217571622</v>
      </c>
      <c r="O34" s="15">
        <f t="shared" si="7"/>
        <v>0.83347123692891034</v>
      </c>
      <c r="P34" s="15">
        <f t="shared" si="36"/>
        <v>0.83605222692885828</v>
      </c>
      <c r="Q34" s="15">
        <f t="shared" si="37"/>
        <v>0.85044702283114726</v>
      </c>
      <c r="R34" s="15">
        <f t="shared" si="38"/>
        <v>0.83313346654597975</v>
      </c>
      <c r="S34" s="15">
        <f t="shared" si="39"/>
        <v>0.8354613068383866</v>
      </c>
      <c r="T34" s="18">
        <f t="shared" si="40"/>
        <v>1</v>
      </c>
      <c r="U34" s="18">
        <f t="shared" si="40"/>
        <v>1.0030966755487065</v>
      </c>
      <c r="V34" s="18">
        <f t="shared" si="40"/>
        <v>1.0203675725688959</v>
      </c>
      <c r="W34" s="183">
        <f t="shared" si="40"/>
        <v>0.99959474260422565</v>
      </c>
      <c r="X34" s="183">
        <f t="shared" si="40"/>
        <v>1.0023876887663323</v>
      </c>
      <c r="Y34" s="18"/>
      <c r="Z34" s="16"/>
      <c r="AA34" s="16"/>
      <c r="AB34" s="17">
        <f>GBDNZ!E233/($T34+$U34+$X34+V34+W34)</f>
        <v>553.29904122735627</v>
      </c>
      <c r="AC34" s="16">
        <f t="shared" si="41"/>
        <v>555.01242883944781</v>
      </c>
      <c r="AD34" s="16">
        <f t="shared" si="41"/>
        <v>564.56839960185494</v>
      </c>
      <c r="AE34" s="16">
        <f t="shared" si="41"/>
        <v>553.07481269882408</v>
      </c>
      <c r="AF34" s="16">
        <f t="shared" si="41"/>
        <v>554.62014713251733</v>
      </c>
      <c r="AG34" s="17">
        <f>GBDNZ!F233/($T34+$U34+$X34+V34+W34)</f>
        <v>8293.8764902476578</v>
      </c>
      <c r="AH34" s="16">
        <f t="shared" si="42"/>
        <v>8319.5599347789994</v>
      </c>
      <c r="AI34" s="16">
        <f t="shared" si="42"/>
        <v>8462.8026215402369</v>
      </c>
      <c r="AJ34" s="16">
        <f t="shared" si="42"/>
        <v>8290.5153354603463</v>
      </c>
      <c r="AK34" s="16">
        <f t="shared" si="42"/>
        <v>8313.6796859727692</v>
      </c>
      <c r="AL34" s="17">
        <f>GBDNZ!G233/($T34+$U34+$X34+V34+W34)</f>
        <v>5978.3593123427518</v>
      </c>
      <c r="AM34" s="16">
        <f t="shared" si="43"/>
        <v>5996.8723514466656</v>
      </c>
      <c r="AN34" s="16">
        <f t="shared" si="43"/>
        <v>6100.1239794798275</v>
      </c>
      <c r="AO34" s="16">
        <f t="shared" si="43"/>
        <v>5975.9365380168283</v>
      </c>
      <c r="AP34" s="16">
        <f t="shared" si="43"/>
        <v>5992.6337737139311</v>
      </c>
      <c r="AQ34" s="15"/>
      <c r="AR34" s="15"/>
      <c r="AS34" s="15"/>
      <c r="AT34" s="15"/>
      <c r="AU34" s="14"/>
      <c r="AV34" s="14"/>
      <c r="AW34" s="14"/>
      <c r="AX34" s="14"/>
    </row>
    <row r="35" spans="1:50" s="13" customFormat="1" ht="13" x14ac:dyDescent="0.3">
      <c r="A35" s="20">
        <v>0</v>
      </c>
      <c r="B35" s="20">
        <v>2</v>
      </c>
      <c r="C35" s="20" t="s">
        <v>34</v>
      </c>
      <c r="D35" s="17">
        <f>Baseline!AN34</f>
        <v>0.18233554535978089</v>
      </c>
      <c r="E35" s="17">
        <f>Baseline!AO34</f>
        <v>0.43414976948360384</v>
      </c>
      <c r="F35" s="17">
        <f>Baseline!AP34</f>
        <v>0.79175006224787237</v>
      </c>
      <c r="G35" s="17">
        <f>Baseline!AQ34</f>
        <v>1.4438984081809676</v>
      </c>
      <c r="H35" s="17">
        <f>Baseline!AR34</f>
        <v>3.4379920812071276</v>
      </c>
      <c r="I35" s="17">
        <f>IF((D35+'Non travel METs'!C35)&gt;2.5,(D35+'Non travel METs'!C35),0.1)</f>
        <v>6.6823355453597806</v>
      </c>
      <c r="J35" s="17">
        <f>IF((E35+'Non travel METs'!D35)&gt;2.5,(E35+'Non travel METs'!D35),0.1)</f>
        <v>3.5591497694836036</v>
      </c>
      <c r="K35" s="17">
        <f>IF((F35+'Non travel METs'!E35)&gt;2.5,(F35+'Non travel METs'!E35),0.1)</f>
        <v>0.1</v>
      </c>
      <c r="L35" s="17">
        <f>IF((G35+'Non travel METs'!F35)&gt;2.5,(G35+'Non travel METs'!F35),0.1)</f>
        <v>0.1</v>
      </c>
      <c r="M35" s="17">
        <f>IF((H35+'Non travel METs'!G35)&gt;2.5,(H35+'Non travel METs'!G35),0.1)</f>
        <v>3.4379920812071276</v>
      </c>
      <c r="N35" s="19">
        <f>'Phy activity RRs'!$O$4</f>
        <v>0.89073615217571622</v>
      </c>
      <c r="O35" s="15">
        <f t="shared" si="7"/>
        <v>0.83024555906186293</v>
      </c>
      <c r="P35" s="15">
        <f t="shared" si="36"/>
        <v>0.8530590694226039</v>
      </c>
      <c r="Q35" s="15">
        <f t="shared" si="37"/>
        <v>0.93700483239712185</v>
      </c>
      <c r="R35" s="15">
        <f t="shared" si="38"/>
        <v>0.93700483239712185</v>
      </c>
      <c r="S35" s="15">
        <f t="shared" si="39"/>
        <v>0.85422867069447561</v>
      </c>
      <c r="T35" s="18">
        <f t="shared" si="40"/>
        <v>1</v>
      </c>
      <c r="U35" s="18">
        <f t="shared" si="40"/>
        <v>1.0274780275687583</v>
      </c>
      <c r="V35" s="18">
        <f t="shared" si="40"/>
        <v>1.1285875873348743</v>
      </c>
      <c r="W35" s="183">
        <f t="shared" si="40"/>
        <v>1.1285875873348743</v>
      </c>
      <c r="X35" s="183">
        <f t="shared" si="40"/>
        <v>1.0288867689454582</v>
      </c>
      <c r="Y35" s="18"/>
      <c r="Z35" s="16"/>
      <c r="AA35" s="16"/>
      <c r="AB35" s="17">
        <f>GBDNZ!E235/($T35+$U35+$X35+V35+W35)</f>
        <v>1797.2014345404791</v>
      </c>
      <c r="AC35" s="16">
        <f t="shared" si="41"/>
        <v>1846.5849851053943</v>
      </c>
      <c r="AD35" s="16">
        <f t="shared" si="41"/>
        <v>2028.2992309628144</v>
      </c>
      <c r="AE35" s="16">
        <f t="shared" si="41"/>
        <v>2028.2992309628144</v>
      </c>
      <c r="AF35" s="16">
        <f t="shared" si="41"/>
        <v>1849.1167771284959</v>
      </c>
      <c r="AG35" s="17">
        <f>GBDNZ!F235/($T35+$U35+$X35+V35+W35)</f>
        <v>10262.84809519352</v>
      </c>
      <c r="AH35" s="16">
        <f t="shared" si="42"/>
        <v>10544.850918087226</v>
      </c>
      <c r="AI35" s="16">
        <f t="shared" si="42"/>
        <v>11582.522970938764</v>
      </c>
      <c r="AJ35" s="16">
        <f t="shared" si="42"/>
        <v>11582.522970938764</v>
      </c>
      <c r="AK35" s="16">
        <f t="shared" si="42"/>
        <v>10559.30861684171</v>
      </c>
      <c r="AL35" s="17">
        <f>GBDNZ!G235/($T35+$U35+$X35+V35+W35)</f>
        <v>6404.6391404894475</v>
      </c>
      <c r="AM35" s="16">
        <f t="shared" si="43"/>
        <v>6580.6259913597651</v>
      </c>
      <c r="AN35" s="16">
        <f t="shared" si="43"/>
        <v>7228.1962353154886</v>
      </c>
      <c r="AO35" s="16">
        <f t="shared" si="43"/>
        <v>7228.1962353154886</v>
      </c>
      <c r="AP35" s="16">
        <f t="shared" si="43"/>
        <v>6589.6484715198039</v>
      </c>
      <c r="AQ35" s="15"/>
      <c r="AR35" s="15"/>
      <c r="AS35" s="15"/>
      <c r="AT35" s="15"/>
      <c r="AU35" s="14"/>
      <c r="AV35" s="14"/>
      <c r="AW35" s="14"/>
      <c r="AX35" s="14"/>
    </row>
  </sheetData>
  <mergeCells count="9">
    <mergeCell ref="AG1:AK1"/>
    <mergeCell ref="AL1:AP1"/>
    <mergeCell ref="AQ1:AT1"/>
    <mergeCell ref="AU1:AX1"/>
    <mergeCell ref="D1:H1"/>
    <mergeCell ref="I1:M1"/>
    <mergeCell ref="O1:S1"/>
    <mergeCell ref="T1:X1"/>
    <mergeCell ref="AB1:AF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80" zoomScaleNormal="80" zoomScalePageLayoutView="80" workbookViewId="0">
      <selection activeCell="D10" sqref="D10"/>
    </sheetView>
  </sheetViews>
  <sheetFormatPr defaultColWidth="9.1796875" defaultRowHeight="14.5" x14ac:dyDescent="0.35"/>
  <cols>
    <col min="1" max="2" width="11.1796875" style="10" customWidth="1"/>
    <col min="3" max="3" width="10.453125" style="10" customWidth="1"/>
    <col min="4" max="4" width="13" style="10" customWidth="1"/>
    <col min="5" max="6" width="16" style="10" customWidth="1"/>
    <col min="7" max="7" width="8.81640625" style="12" customWidth="1"/>
    <col min="8" max="8" width="12.1796875" style="10" customWidth="1"/>
    <col min="9" max="9" width="11" style="10" customWidth="1"/>
    <col min="10" max="10" width="13" style="12" customWidth="1"/>
    <col min="11" max="11" width="12.453125" style="10" customWidth="1"/>
    <col min="12" max="12" width="5.453125" style="10" customWidth="1"/>
    <col min="13" max="13" width="4.453125" style="10" customWidth="1"/>
    <col min="14" max="14" width="6" style="10" customWidth="1"/>
    <col min="15" max="16384" width="9.1796875" style="10"/>
  </cols>
  <sheetData>
    <row r="1" spans="1:14" s="13" customFormat="1" ht="46.5" customHeight="1" x14ac:dyDescent="0.3">
      <c r="A1" s="20"/>
      <c r="B1" s="20"/>
      <c r="C1" s="20"/>
      <c r="D1" s="218" t="s">
        <v>133</v>
      </c>
      <c r="E1" s="29"/>
      <c r="F1" s="215" t="s">
        <v>53</v>
      </c>
      <c r="G1" s="216" t="s">
        <v>73</v>
      </c>
      <c r="H1" s="215" t="s">
        <v>137</v>
      </c>
      <c r="I1" s="215" t="s">
        <v>135</v>
      </c>
      <c r="J1" s="216" t="s">
        <v>136</v>
      </c>
      <c r="K1" s="216" t="s">
        <v>138</v>
      </c>
      <c r="L1" s="23"/>
      <c r="M1" s="23"/>
      <c r="N1" s="23"/>
    </row>
    <row r="2" spans="1:14" s="23" customFormat="1" ht="44.25" customHeight="1" x14ac:dyDescent="0.3">
      <c r="A2" s="29" t="s">
        <v>47</v>
      </c>
      <c r="B2" s="29" t="s">
        <v>46</v>
      </c>
      <c r="C2" s="29" t="s">
        <v>45</v>
      </c>
      <c r="D2" s="20"/>
      <c r="E2" s="215" t="s">
        <v>134</v>
      </c>
      <c r="F2" s="215"/>
      <c r="G2" s="216"/>
      <c r="H2" s="215"/>
      <c r="I2" s="215"/>
      <c r="J2" s="215"/>
      <c r="K2" s="215"/>
    </row>
    <row r="3" spans="1:14" s="13" customFormat="1" ht="13" x14ac:dyDescent="0.3">
      <c r="A3" s="20">
        <v>1</v>
      </c>
      <c r="B3" s="20">
        <v>1</v>
      </c>
      <c r="C3" s="20" t="s">
        <v>2</v>
      </c>
      <c r="D3" s="20">
        <f>'Resp diseases'!D3</f>
        <v>5.9</v>
      </c>
      <c r="E3" s="228">
        <v>9.7580328338864094E-3</v>
      </c>
      <c r="F3" s="19">
        <f>EXP(E3*(D3-D20))</f>
        <v>1</v>
      </c>
      <c r="G3" s="30">
        <f>1-F3</f>
        <v>0</v>
      </c>
      <c r="H3" s="244">
        <f>-$G3*GBDNZ!E159</f>
        <v>0</v>
      </c>
      <c r="I3" s="244">
        <f>-$G3*GBDNZ!F159</f>
        <v>0</v>
      </c>
      <c r="J3" s="244">
        <v>0</v>
      </c>
      <c r="K3" s="244">
        <f>-$G3*GBDNZ!H159</f>
        <v>0</v>
      </c>
      <c r="L3" s="23"/>
      <c r="M3" s="23"/>
      <c r="N3" s="23"/>
    </row>
    <row r="4" spans="1:14" s="13" customFormat="1" ht="13" x14ac:dyDescent="0.3">
      <c r="A4" s="20">
        <v>1</v>
      </c>
      <c r="B4" s="20">
        <v>1</v>
      </c>
      <c r="C4" s="20" t="s">
        <v>40</v>
      </c>
      <c r="D4" s="20">
        <f>'Resp diseases'!D4</f>
        <v>5.9</v>
      </c>
      <c r="E4" s="19"/>
      <c r="F4" s="19"/>
      <c r="G4" s="30"/>
      <c r="H4" s="244"/>
      <c r="I4" s="244"/>
      <c r="J4" s="244"/>
      <c r="K4" s="244"/>
      <c r="L4" s="23"/>
      <c r="M4" s="23"/>
      <c r="N4" s="23"/>
    </row>
    <row r="5" spans="1:14" s="13" customFormat="1" ht="13" x14ac:dyDescent="0.3">
      <c r="A5" s="20">
        <v>1</v>
      </c>
      <c r="B5" s="20">
        <v>1</v>
      </c>
      <c r="C5" s="20" t="s">
        <v>39</v>
      </c>
      <c r="D5" s="20">
        <f>'Resp diseases'!D5</f>
        <v>5.9</v>
      </c>
      <c r="E5" s="19"/>
      <c r="F5" s="19"/>
      <c r="G5" s="30"/>
      <c r="H5" s="244"/>
      <c r="I5" s="244"/>
      <c r="J5" s="244"/>
      <c r="K5" s="244"/>
      <c r="L5" s="23"/>
      <c r="M5" s="23"/>
      <c r="N5" s="23"/>
    </row>
    <row r="6" spans="1:14" s="13" customFormat="1" ht="13" x14ac:dyDescent="0.3">
      <c r="A6" s="20">
        <v>1</v>
      </c>
      <c r="B6" s="20">
        <v>1</v>
      </c>
      <c r="C6" s="20" t="s">
        <v>38</v>
      </c>
      <c r="D6" s="20">
        <f>'Resp diseases'!D6</f>
        <v>5.9</v>
      </c>
      <c r="E6" s="19"/>
      <c r="F6" s="19"/>
      <c r="G6" s="30"/>
      <c r="H6" s="244"/>
      <c r="I6" s="244"/>
      <c r="J6" s="244"/>
      <c r="K6" s="244"/>
      <c r="L6" s="23"/>
      <c r="M6" s="23"/>
      <c r="N6" s="23"/>
    </row>
    <row r="7" spans="1:14" s="13" customFormat="1" ht="13" x14ac:dyDescent="0.3">
      <c r="A7" s="20">
        <v>1</v>
      </c>
      <c r="B7" s="20">
        <v>1</v>
      </c>
      <c r="C7" s="20" t="s">
        <v>37</v>
      </c>
      <c r="D7" s="20">
        <f>'Resp diseases'!D7</f>
        <v>5.9</v>
      </c>
      <c r="E7" s="19"/>
      <c r="F7" s="19"/>
      <c r="G7" s="30"/>
      <c r="H7" s="244"/>
      <c r="I7" s="244"/>
      <c r="J7" s="244"/>
      <c r="K7" s="244"/>
      <c r="L7" s="23"/>
      <c r="M7" s="23"/>
      <c r="N7" s="23"/>
    </row>
    <row r="8" spans="1:14" s="13" customFormat="1" ht="13" x14ac:dyDescent="0.3">
      <c r="A8" s="20">
        <v>1</v>
      </c>
      <c r="B8" s="20">
        <v>1</v>
      </c>
      <c r="C8" s="20" t="s">
        <v>36</v>
      </c>
      <c r="D8" s="20">
        <f>'Resp diseases'!D8</f>
        <v>5.9</v>
      </c>
      <c r="E8" s="19"/>
      <c r="F8" s="19"/>
      <c r="G8" s="30"/>
      <c r="H8" s="244"/>
      <c r="I8" s="244"/>
      <c r="J8" s="244"/>
      <c r="K8" s="244"/>
      <c r="L8" s="23"/>
      <c r="M8" s="23"/>
      <c r="N8" s="23"/>
    </row>
    <row r="9" spans="1:14" s="13" customFormat="1" ht="13" x14ac:dyDescent="0.3">
      <c r="A9" s="20">
        <v>1</v>
      </c>
      <c r="B9" s="20">
        <v>1</v>
      </c>
      <c r="C9" s="20" t="s">
        <v>35</v>
      </c>
      <c r="D9" s="20">
        <f>'Resp diseases'!D9</f>
        <v>5.9</v>
      </c>
      <c r="E9" s="19"/>
      <c r="F9" s="19"/>
      <c r="G9" s="30"/>
      <c r="H9" s="244"/>
      <c r="I9" s="244"/>
      <c r="J9" s="244"/>
      <c r="K9" s="244"/>
      <c r="L9" s="23"/>
      <c r="M9" s="23"/>
      <c r="N9" s="23"/>
    </row>
    <row r="10" spans="1:14" s="13" customFormat="1" ht="13" x14ac:dyDescent="0.3">
      <c r="A10" s="20">
        <v>1</v>
      </c>
      <c r="B10" s="20">
        <v>1</v>
      </c>
      <c r="C10" s="20" t="s">
        <v>34</v>
      </c>
      <c r="D10" s="20">
        <f>'Resp diseases'!D10</f>
        <v>5.9</v>
      </c>
      <c r="E10" s="19"/>
      <c r="F10" s="19"/>
      <c r="G10" s="30"/>
      <c r="H10" s="244"/>
      <c r="I10" s="244"/>
      <c r="J10" s="244"/>
      <c r="K10" s="244"/>
      <c r="L10" s="23"/>
      <c r="M10" s="23"/>
      <c r="N10" s="23"/>
    </row>
    <row r="11" spans="1:14" s="13" customFormat="1" ht="13" x14ac:dyDescent="0.3">
      <c r="A11" s="20">
        <v>1</v>
      </c>
      <c r="B11" s="20">
        <v>2</v>
      </c>
      <c r="C11" s="20" t="s">
        <v>2</v>
      </c>
      <c r="D11" s="20">
        <f>'Resp diseases'!D11</f>
        <v>5.9</v>
      </c>
      <c r="E11" s="228">
        <f>E3</f>
        <v>9.7580328338864094E-3</v>
      </c>
      <c r="F11" s="244">
        <f>EXP(E11*(D11-D28))</f>
        <v>1</v>
      </c>
      <c r="G11" s="30">
        <f>1-F11</f>
        <v>0</v>
      </c>
      <c r="H11" s="244">
        <f>-$G11*GBDNZ!E160</f>
        <v>0</v>
      </c>
      <c r="I11" s="244">
        <f>-$G11*GBDNZ!F160</f>
        <v>0</v>
      </c>
      <c r="J11" s="244">
        <v>0</v>
      </c>
      <c r="K11" s="244">
        <f>-$G11*GBDNZ!H160</f>
        <v>0</v>
      </c>
      <c r="L11" s="23"/>
      <c r="M11" s="23"/>
      <c r="N11" s="23"/>
    </row>
    <row r="12" spans="1:14" s="13" customFormat="1" ht="13" x14ac:dyDescent="0.3">
      <c r="A12" s="20">
        <v>1</v>
      </c>
      <c r="B12" s="20">
        <v>2</v>
      </c>
      <c r="C12" s="20" t="s">
        <v>40</v>
      </c>
      <c r="D12" s="20">
        <f>'Resp diseases'!D12</f>
        <v>5.9</v>
      </c>
      <c r="E12" s="19"/>
      <c r="F12" s="19"/>
      <c r="G12" s="30"/>
      <c r="H12" s="244"/>
      <c r="I12" s="244"/>
      <c r="J12" s="244"/>
      <c r="K12" s="244"/>
      <c r="L12" s="23"/>
      <c r="M12" s="23"/>
      <c r="N12" s="23"/>
    </row>
    <row r="13" spans="1:14" s="13" customFormat="1" ht="13" x14ac:dyDescent="0.3">
      <c r="A13" s="20">
        <v>1</v>
      </c>
      <c r="B13" s="20">
        <v>2</v>
      </c>
      <c r="C13" s="20" t="s">
        <v>39</v>
      </c>
      <c r="D13" s="20">
        <f>'Resp diseases'!D13</f>
        <v>5.9</v>
      </c>
      <c r="E13" s="19"/>
      <c r="F13" s="19"/>
      <c r="G13" s="30"/>
      <c r="H13" s="244"/>
      <c r="I13" s="244"/>
      <c r="J13" s="244"/>
      <c r="K13" s="244"/>
      <c r="L13" s="23"/>
      <c r="M13" s="23"/>
      <c r="N13" s="23"/>
    </row>
    <row r="14" spans="1:14" s="13" customFormat="1" ht="13" x14ac:dyDescent="0.3">
      <c r="A14" s="20">
        <v>1</v>
      </c>
      <c r="B14" s="20">
        <v>2</v>
      </c>
      <c r="C14" s="20" t="s">
        <v>38</v>
      </c>
      <c r="D14" s="20">
        <f>'Resp diseases'!D14</f>
        <v>5.9</v>
      </c>
      <c r="E14" s="19"/>
      <c r="F14" s="19"/>
      <c r="G14" s="30"/>
      <c r="H14" s="244"/>
      <c r="I14" s="244"/>
      <c r="J14" s="244"/>
      <c r="K14" s="244"/>
      <c r="L14" s="23"/>
      <c r="M14" s="23"/>
      <c r="N14" s="23"/>
    </row>
    <row r="15" spans="1:14" s="13" customFormat="1" ht="13" x14ac:dyDescent="0.3">
      <c r="A15" s="20">
        <v>1</v>
      </c>
      <c r="B15" s="20">
        <v>2</v>
      </c>
      <c r="C15" s="20" t="s">
        <v>37</v>
      </c>
      <c r="D15" s="20">
        <f>'Resp diseases'!D15</f>
        <v>5.9</v>
      </c>
      <c r="E15" s="19"/>
      <c r="F15" s="19"/>
      <c r="G15" s="30"/>
      <c r="H15" s="244"/>
      <c r="I15" s="244"/>
      <c r="J15" s="244"/>
      <c r="K15" s="244"/>
      <c r="L15" s="23"/>
      <c r="M15" s="23"/>
      <c r="N15" s="23"/>
    </row>
    <row r="16" spans="1:14" s="13" customFormat="1" ht="13" x14ac:dyDescent="0.3">
      <c r="A16" s="20">
        <v>1</v>
      </c>
      <c r="B16" s="20">
        <v>2</v>
      </c>
      <c r="C16" s="20" t="s">
        <v>36</v>
      </c>
      <c r="D16" s="20">
        <f>'Resp diseases'!D16</f>
        <v>5.9</v>
      </c>
      <c r="E16" s="19"/>
      <c r="F16" s="19"/>
      <c r="G16" s="30"/>
      <c r="H16" s="244"/>
      <c r="I16" s="244"/>
      <c r="J16" s="244"/>
      <c r="K16" s="244"/>
      <c r="L16" s="23"/>
      <c r="M16" s="23"/>
      <c r="N16" s="23"/>
    </row>
    <row r="17" spans="1:14" s="13" customFormat="1" ht="13" x14ac:dyDescent="0.3">
      <c r="A17" s="20">
        <v>1</v>
      </c>
      <c r="B17" s="20">
        <v>2</v>
      </c>
      <c r="C17" s="20" t="s">
        <v>35</v>
      </c>
      <c r="D17" s="20">
        <f>'Resp diseases'!D17</f>
        <v>5.9</v>
      </c>
      <c r="E17" s="19"/>
      <c r="F17" s="19"/>
      <c r="G17" s="30"/>
      <c r="H17" s="244"/>
      <c r="I17" s="244"/>
      <c r="J17" s="244"/>
      <c r="K17" s="244"/>
      <c r="L17" s="23"/>
      <c r="M17" s="23"/>
      <c r="N17" s="23"/>
    </row>
    <row r="18" spans="1:14" s="13" customFormat="1" ht="13" x14ac:dyDescent="0.3">
      <c r="A18" s="20">
        <v>1</v>
      </c>
      <c r="B18" s="20">
        <v>2</v>
      </c>
      <c r="C18" s="20" t="s">
        <v>34</v>
      </c>
      <c r="D18" s="20">
        <f>'Resp diseases'!D18</f>
        <v>5.9</v>
      </c>
      <c r="E18" s="19"/>
      <c r="F18" s="19"/>
      <c r="G18" s="30"/>
      <c r="H18" s="244"/>
      <c r="I18" s="244"/>
      <c r="J18" s="244"/>
      <c r="K18" s="244"/>
      <c r="L18" s="23"/>
      <c r="M18" s="23"/>
      <c r="N18" s="23"/>
    </row>
    <row r="19" spans="1:14" s="13" customFormat="1" ht="13" x14ac:dyDescent="0.3">
      <c r="A19" s="20"/>
      <c r="B19" s="20"/>
      <c r="C19" s="20"/>
      <c r="D19" s="20">
        <f>'Resp diseases'!D19</f>
        <v>0</v>
      </c>
      <c r="E19" s="15"/>
      <c r="F19" s="15"/>
      <c r="G19" s="16"/>
      <c r="H19" s="244">
        <f>H3+H11</f>
        <v>0</v>
      </c>
      <c r="I19" s="244">
        <f>I3+I11</f>
        <v>0</v>
      </c>
      <c r="J19" s="244">
        <v>0</v>
      </c>
      <c r="K19" s="244">
        <f>K3+K11</f>
        <v>0</v>
      </c>
      <c r="L19" s="23"/>
      <c r="M19" s="23"/>
      <c r="N19" s="23"/>
    </row>
    <row r="20" spans="1:14" s="13" customFormat="1" ht="13" x14ac:dyDescent="0.3">
      <c r="A20" s="20">
        <v>0</v>
      </c>
      <c r="B20" s="20">
        <v>1</v>
      </c>
      <c r="C20" s="20" t="s">
        <v>2</v>
      </c>
      <c r="D20" s="20">
        <f>'Resp diseases'!D20</f>
        <v>5.9</v>
      </c>
      <c r="E20" s="19"/>
      <c r="F20" s="19"/>
      <c r="G20" s="16"/>
      <c r="H20" s="32">
        <f>H19/GBDNZ!E161</f>
        <v>0</v>
      </c>
      <c r="I20" s="32">
        <f>I19/GBDNZ!F161</f>
        <v>0</v>
      </c>
      <c r="J20" s="32">
        <f>J19/GBDNZ!G161</f>
        <v>0</v>
      </c>
      <c r="K20" s="32">
        <f>K19/GBDNZ!H161</f>
        <v>0</v>
      </c>
      <c r="L20" s="23"/>
      <c r="M20" s="23"/>
      <c r="N20" s="23"/>
    </row>
    <row r="21" spans="1:14" s="13" customFormat="1" ht="13" x14ac:dyDescent="0.3">
      <c r="A21" s="20">
        <v>0</v>
      </c>
      <c r="B21" s="20">
        <v>1</v>
      </c>
      <c r="C21" s="20" t="s">
        <v>40</v>
      </c>
      <c r="D21" s="20">
        <f>'Resp diseases'!D21</f>
        <v>5.9</v>
      </c>
      <c r="E21" s="19"/>
      <c r="F21" s="19"/>
      <c r="G21" s="16"/>
      <c r="H21" s="17"/>
      <c r="I21" s="17"/>
      <c r="J21" s="17"/>
      <c r="K21" s="23"/>
      <c r="L21" s="23"/>
      <c r="M21" s="23"/>
      <c r="N21" s="23"/>
    </row>
    <row r="22" spans="1:14" s="13" customFormat="1" ht="13" x14ac:dyDescent="0.3">
      <c r="A22" s="20">
        <v>0</v>
      </c>
      <c r="B22" s="20">
        <v>1</v>
      </c>
      <c r="C22" s="20" t="s">
        <v>39</v>
      </c>
      <c r="D22" s="20">
        <f>'Resp diseases'!D22</f>
        <v>5.9</v>
      </c>
      <c r="E22" s="19"/>
      <c r="F22" s="19"/>
      <c r="G22" s="16"/>
      <c r="H22" s="17"/>
      <c r="I22" s="17"/>
      <c r="J22" s="17"/>
      <c r="K22" s="23"/>
      <c r="L22" s="23"/>
      <c r="M22" s="23"/>
      <c r="N22" s="23"/>
    </row>
    <row r="23" spans="1:14" s="13" customFormat="1" ht="13" x14ac:dyDescent="0.3">
      <c r="A23" s="20">
        <v>0</v>
      </c>
      <c r="B23" s="20">
        <v>1</v>
      </c>
      <c r="C23" s="20" t="s">
        <v>38</v>
      </c>
      <c r="D23" s="20">
        <f>'Resp diseases'!D23</f>
        <v>5.9</v>
      </c>
      <c r="E23" s="19"/>
      <c r="F23" s="19"/>
      <c r="G23" s="16"/>
      <c r="H23" s="17"/>
      <c r="I23" s="17"/>
      <c r="J23" s="17"/>
      <c r="K23" s="23"/>
      <c r="L23" s="23"/>
      <c r="M23" s="23"/>
      <c r="N23" s="23"/>
    </row>
    <row r="24" spans="1:14" s="13" customFormat="1" ht="13" x14ac:dyDescent="0.3">
      <c r="A24" s="20">
        <v>0</v>
      </c>
      <c r="B24" s="20">
        <v>1</v>
      </c>
      <c r="C24" s="20" t="s">
        <v>37</v>
      </c>
      <c r="D24" s="20">
        <f>'Resp diseases'!D24</f>
        <v>5.9</v>
      </c>
      <c r="E24" s="19"/>
      <c r="F24" s="19"/>
      <c r="G24" s="16"/>
      <c r="H24" s="17"/>
      <c r="I24" s="17"/>
      <c r="J24" s="17"/>
      <c r="K24" s="23"/>
      <c r="L24" s="23"/>
      <c r="M24" s="23"/>
      <c r="N24" s="23"/>
    </row>
    <row r="25" spans="1:14" s="13" customFormat="1" ht="13" x14ac:dyDescent="0.3">
      <c r="A25" s="20">
        <v>0</v>
      </c>
      <c r="B25" s="20">
        <v>1</v>
      </c>
      <c r="C25" s="20" t="s">
        <v>36</v>
      </c>
      <c r="D25" s="20">
        <f>'Resp diseases'!D25</f>
        <v>5.9</v>
      </c>
      <c r="E25" s="19"/>
      <c r="F25" s="19"/>
      <c r="G25" s="16"/>
      <c r="H25" s="17"/>
      <c r="I25" s="17"/>
      <c r="J25" s="17"/>
      <c r="K25" s="23"/>
      <c r="L25" s="23"/>
      <c r="M25" s="23"/>
      <c r="N25" s="23"/>
    </row>
    <row r="26" spans="1:14" s="13" customFormat="1" ht="13" x14ac:dyDescent="0.3">
      <c r="A26" s="20">
        <v>0</v>
      </c>
      <c r="B26" s="20">
        <v>1</v>
      </c>
      <c r="C26" s="20" t="s">
        <v>35</v>
      </c>
      <c r="D26" s="20">
        <f>'Resp diseases'!D26</f>
        <v>5.9</v>
      </c>
      <c r="E26" s="19"/>
      <c r="F26" s="19"/>
      <c r="G26" s="16"/>
      <c r="H26" s="17"/>
      <c r="I26" s="17"/>
      <c r="J26" s="17"/>
      <c r="K26" s="23"/>
      <c r="L26" s="23"/>
      <c r="M26" s="23"/>
      <c r="N26" s="23"/>
    </row>
    <row r="27" spans="1:14" s="13" customFormat="1" ht="13" x14ac:dyDescent="0.3">
      <c r="A27" s="20">
        <v>0</v>
      </c>
      <c r="B27" s="20">
        <v>1</v>
      </c>
      <c r="C27" s="20" t="s">
        <v>34</v>
      </c>
      <c r="D27" s="20">
        <f>'Resp diseases'!D27</f>
        <v>5.9</v>
      </c>
      <c r="E27" s="19"/>
      <c r="F27" s="19"/>
      <c r="G27" s="16"/>
      <c r="H27" s="17"/>
      <c r="I27" s="17"/>
      <c r="J27" s="17"/>
      <c r="K27" s="23"/>
      <c r="L27" s="23"/>
      <c r="M27" s="23"/>
      <c r="N27" s="23"/>
    </row>
    <row r="28" spans="1:14" s="13" customFormat="1" ht="13" x14ac:dyDescent="0.3">
      <c r="A28" s="20">
        <v>0</v>
      </c>
      <c r="B28" s="20">
        <v>2</v>
      </c>
      <c r="C28" s="20" t="s">
        <v>2</v>
      </c>
      <c r="D28" s="20">
        <f>'Resp diseases'!D28</f>
        <v>5.9</v>
      </c>
      <c r="E28" s="19"/>
      <c r="F28" s="19"/>
      <c r="G28" s="16"/>
      <c r="H28" s="17"/>
      <c r="I28" s="17"/>
      <c r="J28" s="17"/>
      <c r="K28" s="23"/>
      <c r="L28" s="23"/>
      <c r="M28" s="23"/>
      <c r="N28" s="23"/>
    </row>
    <row r="29" spans="1:14" s="13" customFormat="1" ht="13" x14ac:dyDescent="0.3">
      <c r="A29" s="20">
        <v>0</v>
      </c>
      <c r="B29" s="20">
        <v>2</v>
      </c>
      <c r="C29" s="20" t="s">
        <v>40</v>
      </c>
      <c r="D29" s="20">
        <f>'Resp diseases'!D29</f>
        <v>5.9</v>
      </c>
      <c r="E29" s="19"/>
      <c r="F29" s="19"/>
      <c r="G29" s="16"/>
      <c r="H29" s="17"/>
      <c r="I29" s="17"/>
      <c r="J29" s="17"/>
      <c r="K29" s="23"/>
      <c r="L29" s="23"/>
      <c r="M29" s="23"/>
      <c r="N29" s="23"/>
    </row>
    <row r="30" spans="1:14" s="13" customFormat="1" ht="13" x14ac:dyDescent="0.3">
      <c r="A30" s="20">
        <v>0</v>
      </c>
      <c r="B30" s="20">
        <v>2</v>
      </c>
      <c r="C30" s="20" t="s">
        <v>39</v>
      </c>
      <c r="D30" s="20">
        <f>'Resp diseases'!D30</f>
        <v>5.9</v>
      </c>
      <c r="E30" s="19"/>
      <c r="F30" s="19"/>
      <c r="G30" s="16"/>
      <c r="H30" s="17"/>
      <c r="I30" s="17"/>
      <c r="J30" s="17"/>
      <c r="K30" s="23"/>
      <c r="L30" s="23"/>
      <c r="M30" s="23"/>
      <c r="N30" s="23"/>
    </row>
    <row r="31" spans="1:14" s="13" customFormat="1" ht="13" x14ac:dyDescent="0.3">
      <c r="A31" s="20">
        <v>0</v>
      </c>
      <c r="B31" s="20">
        <v>2</v>
      </c>
      <c r="C31" s="20" t="s">
        <v>38</v>
      </c>
      <c r="D31" s="20">
        <f>'Resp diseases'!D31</f>
        <v>5.9</v>
      </c>
      <c r="E31" s="19"/>
      <c r="F31" s="19"/>
      <c r="G31" s="16"/>
      <c r="H31" s="17"/>
      <c r="I31" s="17"/>
      <c r="J31" s="17"/>
      <c r="K31" s="23"/>
      <c r="L31" s="23"/>
      <c r="M31" s="23"/>
      <c r="N31" s="23"/>
    </row>
    <row r="32" spans="1:14" s="13" customFormat="1" ht="13" x14ac:dyDescent="0.3">
      <c r="A32" s="20">
        <v>0</v>
      </c>
      <c r="B32" s="20">
        <v>2</v>
      </c>
      <c r="C32" s="20" t="s">
        <v>37</v>
      </c>
      <c r="D32" s="20">
        <f>'Resp diseases'!D32</f>
        <v>5.9</v>
      </c>
      <c r="E32" s="19"/>
      <c r="F32" s="19"/>
      <c r="G32" s="16"/>
      <c r="H32" s="17"/>
      <c r="I32" s="17"/>
      <c r="J32" s="17"/>
      <c r="K32" s="23"/>
      <c r="L32" s="23"/>
      <c r="M32" s="23"/>
      <c r="N32" s="23"/>
    </row>
    <row r="33" spans="1:14" s="13" customFormat="1" ht="13" x14ac:dyDescent="0.3">
      <c r="A33" s="20">
        <v>0</v>
      </c>
      <c r="B33" s="20">
        <v>2</v>
      </c>
      <c r="C33" s="20" t="s">
        <v>36</v>
      </c>
      <c r="D33" s="20">
        <f>'Resp diseases'!D33</f>
        <v>5.9</v>
      </c>
      <c r="E33" s="19"/>
      <c r="F33" s="19"/>
      <c r="G33" s="16"/>
      <c r="H33" s="17"/>
      <c r="I33" s="17"/>
      <c r="J33" s="17"/>
      <c r="K33" s="23"/>
      <c r="L33" s="23"/>
      <c r="M33" s="23"/>
      <c r="N33" s="23"/>
    </row>
    <row r="34" spans="1:14" s="13" customFormat="1" ht="13" x14ac:dyDescent="0.3">
      <c r="A34" s="20">
        <v>0</v>
      </c>
      <c r="B34" s="20">
        <v>2</v>
      </c>
      <c r="C34" s="20" t="s">
        <v>35</v>
      </c>
      <c r="D34" s="20">
        <f>'Resp diseases'!D34</f>
        <v>5.9</v>
      </c>
      <c r="E34" s="19"/>
      <c r="F34" s="19"/>
      <c r="G34" s="16"/>
      <c r="H34" s="17"/>
      <c r="I34" s="17"/>
      <c r="J34" s="17"/>
      <c r="K34" s="23"/>
      <c r="L34" s="23"/>
      <c r="M34" s="23"/>
      <c r="N34" s="23"/>
    </row>
    <row r="35" spans="1:14" s="13" customFormat="1" ht="13" x14ac:dyDescent="0.3">
      <c r="A35" s="20">
        <v>0</v>
      </c>
      <c r="B35" s="20">
        <v>2</v>
      </c>
      <c r="C35" s="20" t="s">
        <v>34</v>
      </c>
      <c r="D35" s="20">
        <f>'Resp diseases'!D35</f>
        <v>5.9</v>
      </c>
      <c r="E35" s="19"/>
      <c r="F35" s="19"/>
      <c r="G35" s="16"/>
      <c r="H35" s="17"/>
      <c r="I35" s="17"/>
      <c r="J35" s="17"/>
      <c r="K35" s="23"/>
      <c r="L35" s="23"/>
      <c r="M35" s="23"/>
      <c r="N35" s="23"/>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Normal="100" zoomScalePageLayoutView="125" workbookViewId="0">
      <selection activeCell="H6" sqref="H6"/>
    </sheetView>
  </sheetViews>
  <sheetFormatPr defaultColWidth="9.1796875" defaultRowHeight="14.5" x14ac:dyDescent="0.35"/>
  <cols>
    <col min="1" max="1" width="5" style="10" customWidth="1"/>
    <col min="2" max="2" width="4" style="10" customWidth="1"/>
    <col min="3" max="3" width="6" style="10" customWidth="1"/>
    <col min="4" max="6" width="3.7265625" style="10" customWidth="1"/>
    <col min="7" max="7" width="4.26953125" style="10" customWidth="1"/>
    <col min="8" max="8" width="3.453125" style="10" customWidth="1"/>
    <col min="9" max="11" width="3.81640625" style="10" customWidth="1"/>
    <col min="12" max="12" width="4" style="10" customWidth="1"/>
    <col min="13" max="13" width="3.81640625" style="10" customWidth="1"/>
    <col min="14" max="14" width="10" style="10" customWidth="1"/>
    <col min="15" max="15" width="4.7265625" style="10" customWidth="1"/>
    <col min="16" max="17" width="4.1796875" style="10" customWidth="1"/>
    <col min="18" max="18" width="4" style="10" customWidth="1"/>
    <col min="19" max="19" width="4.1796875" style="10" customWidth="1"/>
    <col min="20" max="22" width="4.453125" style="10" customWidth="1"/>
    <col min="23" max="23" width="3.7265625" style="10" customWidth="1"/>
    <col min="24" max="24" width="3.1796875" style="10" bestFit="1" customWidth="1"/>
    <col min="25" max="25" width="4.7265625" style="10" bestFit="1" customWidth="1"/>
    <col min="26" max="26" width="7.1796875" style="12" bestFit="1" customWidth="1"/>
    <col min="27" max="29" width="4.81640625" style="10" customWidth="1"/>
    <col min="30" max="30" width="5.453125" style="10" customWidth="1"/>
    <col min="31" max="31" width="4.453125" style="10" customWidth="1"/>
    <col min="32" max="34" width="5.453125" style="10" customWidth="1"/>
    <col min="35" max="35" width="6.453125" style="10" customWidth="1"/>
    <col min="36" max="36" width="5.26953125" style="10" customWidth="1"/>
    <col min="37" max="41" width="5.1796875" style="12" customWidth="1"/>
    <col min="42" max="42" width="6.453125" style="11" customWidth="1"/>
    <col min="43" max="43" width="5.1796875" style="10" customWidth="1"/>
    <col min="44" max="44" width="7.81640625" style="10" customWidth="1"/>
    <col min="45" max="45" width="6" style="10" customWidth="1"/>
    <col min="46" max="46" width="5.1796875" style="10" customWidth="1"/>
    <col min="47" max="47" width="5.453125" style="10" customWidth="1"/>
    <col min="48" max="48" width="4.453125" style="10" customWidth="1"/>
    <col min="49" max="49" width="6" style="10" customWidth="1"/>
    <col min="50" max="16384" width="9.1796875" style="10"/>
  </cols>
  <sheetData>
    <row r="1" spans="1:49" s="13" customFormat="1" ht="46.5" customHeight="1" x14ac:dyDescent="0.3">
      <c r="A1" s="20"/>
      <c r="B1" s="20"/>
      <c r="C1" s="20"/>
      <c r="D1" s="1065" t="s">
        <v>56</v>
      </c>
      <c r="E1" s="1065"/>
      <c r="F1" s="1065"/>
      <c r="G1" s="1065"/>
      <c r="H1" s="1065"/>
      <c r="I1" s="1065" t="s">
        <v>55</v>
      </c>
      <c r="J1" s="1065"/>
      <c r="K1" s="1065"/>
      <c r="L1" s="1065"/>
      <c r="M1" s="1065"/>
      <c r="N1" s="29"/>
      <c r="O1" s="1065" t="s">
        <v>54</v>
      </c>
      <c r="P1" s="1065"/>
      <c r="Q1" s="1065"/>
      <c r="R1" s="1065"/>
      <c r="S1" s="1065"/>
      <c r="T1" s="1065" t="s">
        <v>52</v>
      </c>
      <c r="U1" s="1065"/>
      <c r="V1" s="1065"/>
      <c r="W1" s="1065"/>
      <c r="X1" s="1065"/>
      <c r="Y1" s="25" t="s">
        <v>74</v>
      </c>
      <c r="Z1" s="27" t="s">
        <v>73</v>
      </c>
      <c r="AA1" s="1065" t="s">
        <v>51</v>
      </c>
      <c r="AB1" s="1065"/>
      <c r="AC1" s="1065"/>
      <c r="AD1" s="1065"/>
      <c r="AE1" s="1065"/>
      <c r="AF1" s="1065" t="s">
        <v>50</v>
      </c>
      <c r="AG1" s="1065"/>
      <c r="AH1" s="1065"/>
      <c r="AI1" s="1065"/>
      <c r="AJ1" s="1065"/>
      <c r="AK1" s="1066" t="s">
        <v>49</v>
      </c>
      <c r="AL1" s="1066"/>
      <c r="AM1" s="1066"/>
      <c r="AN1" s="1066"/>
      <c r="AO1" s="1066"/>
      <c r="AP1" s="1067" t="s">
        <v>48</v>
      </c>
      <c r="AQ1" s="1067"/>
      <c r="AR1" s="1067"/>
      <c r="AS1" s="1067"/>
      <c r="AT1" s="23"/>
      <c r="AU1" s="23"/>
      <c r="AV1" s="23"/>
      <c r="AW1" s="23"/>
    </row>
    <row r="2" spans="1:49" s="23" customFormat="1" ht="37.5" customHeight="1" x14ac:dyDescent="0.3">
      <c r="A2" s="29" t="s">
        <v>47</v>
      </c>
      <c r="B2" s="29" t="s">
        <v>46</v>
      </c>
      <c r="C2" s="29" t="s">
        <v>45</v>
      </c>
      <c r="D2" s="25">
        <v>1</v>
      </c>
      <c r="E2" s="144">
        <v>2</v>
      </c>
      <c r="F2" s="144">
        <v>3</v>
      </c>
      <c r="G2" s="25">
        <v>4</v>
      </c>
      <c r="H2" s="25">
        <v>5</v>
      </c>
      <c r="I2" s="144">
        <v>1</v>
      </c>
      <c r="J2" s="144">
        <v>2</v>
      </c>
      <c r="K2" s="144">
        <v>3</v>
      </c>
      <c r="L2" s="144">
        <v>4</v>
      </c>
      <c r="M2" s="144">
        <v>5</v>
      </c>
      <c r="N2" s="25" t="s">
        <v>44</v>
      </c>
      <c r="O2" s="29">
        <v>1</v>
      </c>
      <c r="P2" s="29">
        <v>2</v>
      </c>
      <c r="Q2" s="29">
        <v>3</v>
      </c>
      <c r="R2" s="29">
        <v>4</v>
      </c>
      <c r="S2" s="29">
        <v>5</v>
      </c>
      <c r="T2" s="144">
        <v>1</v>
      </c>
      <c r="U2" s="144">
        <v>2</v>
      </c>
      <c r="V2" s="144">
        <v>3</v>
      </c>
      <c r="W2" s="144">
        <v>4</v>
      </c>
      <c r="X2" s="144">
        <v>5</v>
      </c>
      <c r="Y2" s="29"/>
      <c r="Z2" s="27"/>
      <c r="AA2" s="144">
        <v>1</v>
      </c>
      <c r="AB2" s="144">
        <v>2</v>
      </c>
      <c r="AC2" s="144">
        <v>3</v>
      </c>
      <c r="AD2" s="144">
        <v>4</v>
      </c>
      <c r="AE2" s="144">
        <v>5</v>
      </c>
      <c r="AF2" s="144">
        <v>1</v>
      </c>
      <c r="AG2" s="144">
        <v>2</v>
      </c>
      <c r="AH2" s="144">
        <v>3</v>
      </c>
      <c r="AI2" s="144">
        <v>4</v>
      </c>
      <c r="AJ2" s="144">
        <v>5</v>
      </c>
      <c r="AK2" s="144">
        <v>1</v>
      </c>
      <c r="AL2" s="144">
        <v>2</v>
      </c>
      <c r="AM2" s="144">
        <v>3</v>
      </c>
      <c r="AN2" s="144">
        <v>4</v>
      </c>
      <c r="AO2" s="144">
        <v>5</v>
      </c>
      <c r="AP2" s="26" t="s">
        <v>43</v>
      </c>
      <c r="AQ2" s="25" t="s">
        <v>42</v>
      </c>
      <c r="AR2" s="25" t="s">
        <v>41</v>
      </c>
      <c r="AS2" s="25" t="s">
        <v>28</v>
      </c>
    </row>
    <row r="3" spans="1:49" s="13" customFormat="1" ht="13" x14ac:dyDescent="0.3">
      <c r="A3" s="20">
        <v>1</v>
      </c>
      <c r="B3" s="20">
        <v>1</v>
      </c>
      <c r="C3" s="20" t="s">
        <v>2</v>
      </c>
      <c r="D3" s="17"/>
      <c r="E3" s="17"/>
      <c r="F3" s="17"/>
      <c r="G3" s="17"/>
      <c r="H3" s="17"/>
      <c r="I3" s="17"/>
      <c r="J3" s="17"/>
      <c r="K3" s="17"/>
      <c r="L3" s="17"/>
      <c r="M3" s="17"/>
      <c r="N3" s="15"/>
      <c r="O3" s="15"/>
      <c r="P3" s="15"/>
      <c r="Q3" s="15"/>
      <c r="R3" s="15"/>
      <c r="S3" s="15"/>
      <c r="T3" s="18"/>
      <c r="U3" s="18"/>
      <c r="V3" s="18"/>
      <c r="W3" s="18"/>
      <c r="X3" s="18"/>
      <c r="Y3" s="18"/>
      <c r="Z3" s="16"/>
      <c r="AA3" s="15"/>
      <c r="AB3" s="15"/>
      <c r="AC3" s="15"/>
      <c r="AD3" s="18"/>
      <c r="AE3" s="18"/>
      <c r="AF3" s="15"/>
      <c r="AG3" s="15"/>
      <c r="AH3" s="15"/>
      <c r="AI3" s="18"/>
      <c r="AJ3" s="18"/>
      <c r="AK3" s="17"/>
      <c r="AL3" s="17"/>
      <c r="AM3" s="17"/>
      <c r="AN3" s="16"/>
      <c r="AO3" s="16"/>
      <c r="AP3" s="17"/>
      <c r="AQ3" s="17"/>
      <c r="AR3" s="17"/>
      <c r="AS3" s="17"/>
      <c r="AT3" s="23"/>
      <c r="AU3" s="23"/>
      <c r="AV3" s="23"/>
      <c r="AW3" s="23"/>
    </row>
    <row r="4" spans="1:49" s="13" customFormat="1" ht="13" x14ac:dyDescent="0.3">
      <c r="A4" s="20">
        <v>1</v>
      </c>
      <c r="B4" s="20">
        <v>1</v>
      </c>
      <c r="C4" s="20" t="s">
        <v>40</v>
      </c>
      <c r="D4" s="17"/>
      <c r="E4" s="17"/>
      <c r="F4" s="17"/>
      <c r="G4" s="17"/>
      <c r="H4" s="17"/>
      <c r="I4" s="17"/>
      <c r="J4" s="17"/>
      <c r="K4" s="17"/>
      <c r="L4" s="17"/>
      <c r="M4" s="17"/>
      <c r="N4" s="15"/>
      <c r="O4" s="15"/>
      <c r="P4" s="15"/>
      <c r="Q4" s="15"/>
      <c r="R4" s="15"/>
      <c r="S4" s="15"/>
      <c r="T4" s="18"/>
      <c r="U4" s="18"/>
      <c r="V4" s="18"/>
      <c r="W4" s="18"/>
      <c r="X4" s="18"/>
      <c r="Y4" s="18"/>
      <c r="Z4" s="16"/>
      <c r="AA4" s="15"/>
      <c r="AB4" s="15"/>
      <c r="AC4" s="15"/>
      <c r="AD4" s="18"/>
      <c r="AE4" s="18"/>
      <c r="AF4" s="15"/>
      <c r="AG4" s="15"/>
      <c r="AH4" s="15"/>
      <c r="AI4" s="18"/>
      <c r="AJ4" s="18"/>
      <c r="AK4" s="17"/>
      <c r="AL4" s="17"/>
      <c r="AM4" s="17"/>
      <c r="AN4" s="16"/>
      <c r="AO4" s="16"/>
      <c r="AP4" s="17"/>
      <c r="AQ4" s="17"/>
      <c r="AR4" s="17"/>
      <c r="AS4" s="17"/>
      <c r="AT4" s="23"/>
      <c r="AU4" s="23"/>
      <c r="AV4" s="23"/>
      <c r="AW4" s="23"/>
    </row>
    <row r="5" spans="1:49" s="13" customFormat="1" ht="13" x14ac:dyDescent="0.3">
      <c r="A5" s="20">
        <v>1</v>
      </c>
      <c r="B5" s="20">
        <v>1</v>
      </c>
      <c r="C5" s="20" t="s">
        <v>39</v>
      </c>
      <c r="D5" s="17">
        <f>Scenario!AN21</f>
        <v>0.37339203160199785</v>
      </c>
      <c r="E5" s="17">
        <f>Scenario!AO21</f>
        <v>0.89041070258950428</v>
      </c>
      <c r="F5" s="17">
        <f>Scenario!AP21</f>
        <v>1.6255263073807924</v>
      </c>
      <c r="G5" s="17">
        <f>Scenario!AQ21</f>
        <v>2.9675471872727468</v>
      </c>
      <c r="H5" s="17">
        <f>Scenario!AR21</f>
        <v>7.0765724824131357</v>
      </c>
      <c r="I5" s="17">
        <f>IF((D5+'Non travel METs'!C5)&gt;2.5,(D5+'Non travel METs'!C5),0.1)</f>
        <v>58.173392031601992</v>
      </c>
      <c r="J5" s="17">
        <f>IF((E5+'Non travel METs'!D5)&gt;2.5,(E5+'Non travel METs'!D5),0.1)</f>
        <v>41.890410702589506</v>
      </c>
      <c r="K5" s="17">
        <f>IF((F5+'Non travel METs'!E5)&gt;2.5,(F5+'Non travel METs'!E5),0.1)</f>
        <v>47.125526307380795</v>
      </c>
      <c r="L5" s="17">
        <f>IF((G5+'Non travel METs'!F5)&gt;2.5,(G5+'Non travel METs'!F5),0.1)</f>
        <v>40.892547187272747</v>
      </c>
      <c r="M5" s="17">
        <f>IF((H5+'Non travel METs'!G5)&gt;2.5,(H5+'Non travel METs'!G5),0.1)</f>
        <v>48.076572482413134</v>
      </c>
      <c r="N5" s="19">
        <v>1</v>
      </c>
      <c r="O5" s="15">
        <f>IF(('user page'!$R$36=0),$N5^(I5^0.25),IF(('user page'!$R$36=1),$N5^(I5^0.5),IF(('user page'!$R$36=2),$N5^(I5^0.375),IF(('user page'!$R$36=4),$N5^(I5),IF(('user page'!$R$36=3),$N5^(LN(1+I5)),"")))))</f>
        <v>1</v>
      </c>
      <c r="P5" s="15">
        <f>IF(('user page'!$R$36=0),$N5^(J5^0.25),IF(('user page'!$R$36=1),$N5^(J5^0.5),IF(('user page'!$R$36=2),$N5^(J5^0.375),IF(('user page'!$R$36=4),$N5^(J5),IF(('user page'!$R$36=3),$N5^(LN(1+J5)),"")))))</f>
        <v>1</v>
      </c>
      <c r="Q5" s="15">
        <f>IF(('user page'!$R$36=0),$N5^(K5^0.25),IF(('user page'!$R$36=1),$N5^(K5^0.5),IF(('user page'!$R$36=2),$N5^(K5^0.375),IF(('user page'!$R$36=4),$N5^(K5),IF(('user page'!$R$36=3),$N5^(LN(1+K5)),"")))))</f>
        <v>1</v>
      </c>
      <c r="R5" s="15">
        <f>IF(('user page'!$R$36=0),$N5^(L5^0.25),IF(('user page'!$R$36=1),$N5^(L5^0.5),IF(('user page'!$R$36=2),$N5^(L5^0.375),IF(('user page'!$R$36=4),$N5^(L5),IF(('user page'!$R$36=3),$N5^(LN(1+L5)),"")))))</f>
        <v>1</v>
      </c>
      <c r="S5" s="15">
        <f>IF(('user page'!$R$36=0),$N5^(M5^0.25),IF(('user page'!$R$36=1),$N5^(M5^0.5),IF(('user page'!$R$36=2),$N5^(M5^0.375),IF(('user page'!$R$36=4),$N5^(M5),IF(('user page'!$R$36=3),$N5^(LN(1+M5)),"")))))</f>
        <v>1</v>
      </c>
      <c r="T5" s="18">
        <f t="shared" ref="T5:X10" si="0">O5/$O5</f>
        <v>1</v>
      </c>
      <c r="U5" s="18">
        <f t="shared" si="0"/>
        <v>1</v>
      </c>
      <c r="V5" s="18">
        <f t="shared" si="0"/>
        <v>1</v>
      </c>
      <c r="W5" s="18">
        <f t="shared" si="0"/>
        <v>1</v>
      </c>
      <c r="X5" s="18">
        <f t="shared" si="0"/>
        <v>1</v>
      </c>
      <c r="Y5" s="30">
        <f>1-Z5</f>
        <v>0</v>
      </c>
      <c r="Z5" s="269">
        <f t="shared" ref="Z5:Z10" si="1">SUM(O5:S5)/SUM(O22:S22)</f>
        <v>1</v>
      </c>
      <c r="AA5" s="17">
        <f>Z5*GBDNZ!$E5/($T5+$W5+$X5+U5+V5)</f>
        <v>9.3904184799999992E-3</v>
      </c>
      <c r="AB5" s="16">
        <f t="shared" ref="AB5:AE10" si="2">$AA5*U5</f>
        <v>9.3904184799999992E-3</v>
      </c>
      <c r="AC5" s="16">
        <f t="shared" si="2"/>
        <v>9.3904184799999992E-3</v>
      </c>
      <c r="AD5" s="16">
        <f t="shared" si="2"/>
        <v>9.3904184799999992E-3</v>
      </c>
      <c r="AE5" s="16">
        <f t="shared" si="2"/>
        <v>9.3904184799999992E-3</v>
      </c>
      <c r="AF5" s="17">
        <f>Z5*GBDNZ!$F5/($T5+$W5+$X5+U5+V5)</f>
        <v>0.60684335457999994</v>
      </c>
      <c r="AG5" s="16">
        <f t="shared" ref="AG5:AJ10" si="3">$AF5*U5</f>
        <v>0.60684335457999994</v>
      </c>
      <c r="AH5" s="16">
        <f t="shared" si="3"/>
        <v>0.60684335457999994</v>
      </c>
      <c r="AI5" s="16">
        <f t="shared" si="3"/>
        <v>0.60684335457999994</v>
      </c>
      <c r="AJ5" s="16">
        <f t="shared" si="3"/>
        <v>0.60684335457999994</v>
      </c>
      <c r="AK5" s="17">
        <f>Z5*GBDNZ!$G5/($T5+$W5+$X5+U5+V5)</f>
        <v>3.0945053759999997E-2</v>
      </c>
      <c r="AL5" s="16">
        <f t="shared" ref="AL5:AO10" si="4">$AK5*U5</f>
        <v>3.0945053759999997E-2</v>
      </c>
      <c r="AM5" s="16">
        <f t="shared" si="4"/>
        <v>3.0945053759999997E-2</v>
      </c>
      <c r="AN5" s="16">
        <f t="shared" si="4"/>
        <v>3.0945053759999997E-2</v>
      </c>
      <c r="AO5" s="16">
        <f t="shared" si="4"/>
        <v>3.0945053759999997E-2</v>
      </c>
      <c r="AP5" s="17">
        <f>AA5+AB5+AE5+AC5+AD5-AC22-AD22-AA22-AB22-AE22</f>
        <v>0</v>
      </c>
      <c r="AQ5" s="17">
        <f>AF5+AG5+AJ5+AH5+AI5-AH22-AI22-AG22-AJ22-AF22</f>
        <v>0</v>
      </c>
      <c r="AR5" s="17">
        <f>AK5+AL5+AO5-AK22+AM5+AN5-AM22-AN22-AL22-AO22</f>
        <v>0</v>
      </c>
      <c r="AS5" s="17">
        <f t="shared" ref="AS5:AS10" si="5">AQ5+AR5</f>
        <v>0</v>
      </c>
      <c r="AT5" s="23"/>
      <c r="AU5" s="23"/>
      <c r="AV5" s="23"/>
      <c r="AW5" s="23"/>
    </row>
    <row r="6" spans="1:49" s="13" customFormat="1" ht="13" x14ac:dyDescent="0.3">
      <c r="A6" s="20">
        <v>1</v>
      </c>
      <c r="B6" s="20">
        <v>1</v>
      </c>
      <c r="C6" s="20" t="s">
        <v>38</v>
      </c>
      <c r="D6" s="17">
        <f>Scenario!AN22</f>
        <v>0.24273184972454737</v>
      </c>
      <c r="E6" s="17">
        <f>Scenario!AO22</f>
        <v>0.57883141192595211</v>
      </c>
      <c r="F6" s="17">
        <f>Scenario!AP22</f>
        <v>1.0567097687478921</v>
      </c>
      <c r="G6" s="17">
        <f>Scenario!AQ22</f>
        <v>1.9291204871757561</v>
      </c>
      <c r="H6" s="17">
        <f>Scenario!AR22</f>
        <v>4.600284374029961</v>
      </c>
      <c r="I6" s="17">
        <f>IF((D6+'Non travel METs'!C6)&gt;2.5,(D6+'Non travel METs'!C6),0.1)</f>
        <v>51.492731849724549</v>
      </c>
      <c r="J6" s="17">
        <f>IF((E6+'Non travel METs'!D6)&gt;2.5,(E6+'Non travel METs'!D6),0.1)</f>
        <v>51.828831411925954</v>
      </c>
      <c r="K6" s="17">
        <f>IF((F6+'Non travel METs'!E6)&gt;2.5,(F6+'Non travel METs'!E6),0.1)</f>
        <v>65.806709768747893</v>
      </c>
      <c r="L6" s="17">
        <f>IF((G6+'Non travel METs'!F6)&gt;2.5,(G6+'Non travel METs'!F6),0.1)</f>
        <v>48.054120487175759</v>
      </c>
      <c r="M6" s="17">
        <f>IF((H6+'Non travel METs'!G6)&gt;2.5,(H6+'Non travel METs'!G6),0.1)</f>
        <v>49.400284374029958</v>
      </c>
      <c r="N6" s="19">
        <v>1</v>
      </c>
      <c r="O6" s="15">
        <f>IF(('user page'!$R$36=0),$N6^(I6^0.25),IF(('user page'!$R$36=1),$N6^(I6^0.5),IF(('user page'!$R$36=2),$N6^(I6^0.375),IF(('user page'!$R$36=4),$N6^(I6),IF(('user page'!$R$36=3),$N6^(LN(1+I6)),"")))))</f>
        <v>1</v>
      </c>
      <c r="P6" s="15">
        <f>IF(('user page'!$R$36=0),$N6^(J6^0.25),IF(('user page'!$R$36=1),$N6^(J6^0.5),IF(('user page'!$R$36=2),$N6^(J6^0.375),IF(('user page'!$R$36=4),$N6^(J6),IF(('user page'!$R$36=3),$N6^(LN(1+J6)),"")))))</f>
        <v>1</v>
      </c>
      <c r="Q6" s="15">
        <f>IF(('user page'!$R$36=0),$N6^(K6^0.25),IF(('user page'!$R$36=1),$N6^(K6^0.5),IF(('user page'!$R$36=2),$N6^(K6^0.375),IF(('user page'!$R$36=4),$N6^(K6),IF(('user page'!$R$36=3),$N6^(LN(1+K6)),"")))))</f>
        <v>1</v>
      </c>
      <c r="R6" s="15">
        <f>IF(('user page'!$R$36=0),$N6^(L6^0.25),IF(('user page'!$R$36=1),$N6^(L6^0.5),IF(('user page'!$R$36=2),$N6^(L6^0.375),IF(('user page'!$R$36=4),$N6^(L6),IF(('user page'!$R$36=3),$N6^(LN(1+L6)),"")))))</f>
        <v>1</v>
      </c>
      <c r="S6" s="15">
        <f>IF(('user page'!$R$36=0),$N6^(M6^0.25),IF(('user page'!$R$36=1),$N6^(M6^0.5),IF(('user page'!$R$36=2),$N6^(M6^0.375),IF(('user page'!$R$36=4),$N6^(M6),IF(('user page'!$R$36=3),$N6^(LN(1+M6)),"")))))</f>
        <v>1</v>
      </c>
      <c r="T6" s="18">
        <f t="shared" si="0"/>
        <v>1</v>
      </c>
      <c r="U6" s="18">
        <f t="shared" si="0"/>
        <v>1</v>
      </c>
      <c r="V6" s="18">
        <f t="shared" si="0"/>
        <v>1</v>
      </c>
      <c r="W6" s="18">
        <f t="shared" si="0"/>
        <v>1</v>
      </c>
      <c r="X6" s="18">
        <f t="shared" si="0"/>
        <v>1</v>
      </c>
      <c r="Y6" s="30">
        <f t="shared" ref="Y6:Y18" si="6">1-Z6</f>
        <v>0</v>
      </c>
      <c r="Z6" s="269">
        <f t="shared" si="1"/>
        <v>1</v>
      </c>
      <c r="AA6" s="17">
        <f>Z6*GBDNZ!$E6/($T6+$W6+$X6+U6+V6)</f>
        <v>1.5914494800000002E-2</v>
      </c>
      <c r="AB6" s="16">
        <f t="shared" si="2"/>
        <v>1.5914494800000002E-2</v>
      </c>
      <c r="AC6" s="16">
        <f t="shared" si="2"/>
        <v>1.5914494800000002E-2</v>
      </c>
      <c r="AD6" s="16">
        <f t="shared" si="2"/>
        <v>1.5914494800000002E-2</v>
      </c>
      <c r="AE6" s="16">
        <f t="shared" si="2"/>
        <v>1.5914494800000002E-2</v>
      </c>
      <c r="AF6" s="17">
        <f>Z6*GBDNZ!$F6/($T6+$W6+$X6+U6+V6)</f>
        <v>0.76762005852000004</v>
      </c>
      <c r="AG6" s="16">
        <f t="shared" si="3"/>
        <v>0.76762005852000004</v>
      </c>
      <c r="AH6" s="16">
        <f t="shared" si="3"/>
        <v>0.76762005852000004</v>
      </c>
      <c r="AI6" s="16">
        <f t="shared" si="3"/>
        <v>0.76762005852000004</v>
      </c>
      <c r="AJ6" s="16">
        <f t="shared" si="3"/>
        <v>0.76762005852000004</v>
      </c>
      <c r="AK6" s="17">
        <f>Z6*GBDNZ!$G6/($T6+$W6+$X6+U6+V6)</f>
        <v>5.1420955779999999E-2</v>
      </c>
      <c r="AL6" s="16">
        <f t="shared" si="4"/>
        <v>5.1420955779999999E-2</v>
      </c>
      <c r="AM6" s="16">
        <f t="shared" si="4"/>
        <v>5.1420955779999999E-2</v>
      </c>
      <c r="AN6" s="16">
        <f t="shared" si="4"/>
        <v>5.1420955779999999E-2</v>
      </c>
      <c r="AO6" s="16">
        <f t="shared" si="4"/>
        <v>5.1420955779999999E-2</v>
      </c>
      <c r="AP6" s="17">
        <f t="shared" ref="AP6:AP18" si="7">AA6+AB6+AE6+AC6+AD6-AC23-AD23-AA23-AB23-AE23</f>
        <v>0</v>
      </c>
      <c r="AQ6" s="17">
        <f t="shared" ref="AQ6:AQ18" si="8">AF6+AG6+AJ6+AH6+AI6-AH23-AI23-AG23-AJ23-AF23</f>
        <v>0</v>
      </c>
      <c r="AR6" s="17">
        <f t="shared" ref="AR6:AR18" si="9">AK6+AL6+AO6-AK23+AM6+AN6-AM23-AN23-AL23-AO23</f>
        <v>0</v>
      </c>
      <c r="AS6" s="17">
        <f t="shared" si="5"/>
        <v>0</v>
      </c>
      <c r="AT6" s="23"/>
      <c r="AU6" s="23"/>
      <c r="AV6" s="23"/>
      <c r="AW6" s="23"/>
    </row>
    <row r="7" spans="1:49" s="13" customFormat="1" ht="13" x14ac:dyDescent="0.3">
      <c r="A7" s="20">
        <v>1</v>
      </c>
      <c r="B7" s="20">
        <v>1</v>
      </c>
      <c r="C7" s="20" t="s">
        <v>37</v>
      </c>
      <c r="D7" s="17">
        <f>Scenario!AN23</f>
        <v>0.44101223863405448</v>
      </c>
      <c r="E7" s="17">
        <f>Scenario!AO23</f>
        <v>1.0516614818156649</v>
      </c>
      <c r="F7" s="17">
        <f>Scenario!AP23</f>
        <v>1.9199043769114967</v>
      </c>
      <c r="G7" s="17">
        <f>Scenario!AQ23</f>
        <v>3.5049613209376891</v>
      </c>
      <c r="H7" s="17">
        <f>Scenario!AR23</f>
        <v>8.3581191032263789</v>
      </c>
      <c r="I7" s="17">
        <f>IF((D7+'Non travel METs'!C7)&gt;2.5,(D7+'Non travel METs'!C7),0.1)</f>
        <v>58.71601223863405</v>
      </c>
      <c r="J7" s="17">
        <f>IF((E7+'Non travel METs'!D7)&gt;2.5,(E7+'Non travel METs'!D7),0.1)</f>
        <v>62.551661481815664</v>
      </c>
      <c r="K7" s="17">
        <f>IF((F7+'Non travel METs'!E7)&gt;2.5,(F7+'Non travel METs'!E7),0.1)</f>
        <v>55.644904376911498</v>
      </c>
      <c r="L7" s="17">
        <f>IF((G7+'Non travel METs'!F7)&gt;2.5,(G7+'Non travel METs'!F7),0.1)</f>
        <v>55.704961320937691</v>
      </c>
      <c r="M7" s="17">
        <f>IF((H7+'Non travel METs'!G7)&gt;2.5,(H7+'Non travel METs'!G7),0.1)</f>
        <v>55.058119103226382</v>
      </c>
      <c r="N7" s="19">
        <v>1</v>
      </c>
      <c r="O7" s="15">
        <f>IF(('user page'!$R$36=0),$N7^(I7^0.25),IF(('user page'!$R$36=1),$N7^(I7^0.5),IF(('user page'!$R$36=2),$N7^(I7^0.375),IF(('user page'!$R$36=4),$N7^(I7),IF(('user page'!$R$36=3),$N7^(LN(1+I7)),"")))))</f>
        <v>1</v>
      </c>
      <c r="P7" s="15">
        <f>IF(('user page'!$R$36=0),$N7^(J7^0.25),IF(('user page'!$R$36=1),$N7^(J7^0.5),IF(('user page'!$R$36=2),$N7^(J7^0.375),IF(('user page'!$R$36=4),$N7^(J7),IF(('user page'!$R$36=3),$N7^(LN(1+J7)),"")))))</f>
        <v>1</v>
      </c>
      <c r="Q7" s="15">
        <f>IF(('user page'!$R$36=0),$N7^(K7^0.25),IF(('user page'!$R$36=1),$N7^(K7^0.5),IF(('user page'!$R$36=2),$N7^(K7^0.375),IF(('user page'!$R$36=4),$N7^(K7),IF(('user page'!$R$36=3),$N7^(LN(1+K7)),"")))))</f>
        <v>1</v>
      </c>
      <c r="R7" s="15">
        <f>IF(('user page'!$R$36=0),$N7^(L7^0.25),IF(('user page'!$R$36=1),$N7^(L7^0.5),IF(('user page'!$R$36=2),$N7^(L7^0.375),IF(('user page'!$R$36=4),$N7^(L7),IF(('user page'!$R$36=3),$N7^(LN(1+L7)),"")))))</f>
        <v>1</v>
      </c>
      <c r="S7" s="15">
        <f>IF(('user page'!$R$36=0),$N7^(M7^0.25),IF(('user page'!$R$36=1),$N7^(M7^0.5),IF(('user page'!$R$36=2),$N7^(M7^0.375),IF(('user page'!$R$36=4),$N7^(M7),IF(('user page'!$R$36=3),$N7^(LN(1+M7)),"")))))</f>
        <v>1</v>
      </c>
      <c r="T7" s="18">
        <f t="shared" si="0"/>
        <v>1</v>
      </c>
      <c r="U7" s="18">
        <f t="shared" si="0"/>
        <v>1</v>
      </c>
      <c r="V7" s="18">
        <f t="shared" si="0"/>
        <v>1</v>
      </c>
      <c r="W7" s="18">
        <f t="shared" si="0"/>
        <v>1</v>
      </c>
      <c r="X7" s="18">
        <f t="shared" si="0"/>
        <v>1</v>
      </c>
      <c r="Y7" s="30">
        <f t="shared" si="6"/>
        <v>0</v>
      </c>
      <c r="Z7" s="269">
        <f t="shared" si="1"/>
        <v>1</v>
      </c>
      <c r="AA7" s="17">
        <f>Z7*GBDNZ!$E7/($T7+$W7+$X7+U7+V7)</f>
        <v>0.12687722109999999</v>
      </c>
      <c r="AB7" s="16">
        <f t="shared" si="2"/>
        <v>0.12687722109999999</v>
      </c>
      <c r="AC7" s="16">
        <f t="shared" si="2"/>
        <v>0.12687722109999999</v>
      </c>
      <c r="AD7" s="16">
        <f t="shared" si="2"/>
        <v>0.12687722109999999</v>
      </c>
      <c r="AE7" s="16">
        <f t="shared" si="2"/>
        <v>0.12687722109999999</v>
      </c>
      <c r="AF7" s="17">
        <f>Z7*GBDNZ!$F7/($T7+$W7+$X7+U7+V7)</f>
        <v>4.3137643839800006</v>
      </c>
      <c r="AG7" s="16">
        <f t="shared" si="3"/>
        <v>4.3137643839800006</v>
      </c>
      <c r="AH7" s="16">
        <f t="shared" si="3"/>
        <v>4.3137643839800006</v>
      </c>
      <c r="AI7" s="16">
        <f t="shared" si="3"/>
        <v>4.3137643839800006</v>
      </c>
      <c r="AJ7" s="16">
        <f t="shared" si="3"/>
        <v>4.3137643839800006</v>
      </c>
      <c r="AK7" s="17">
        <f>Z7*GBDNZ!$G7/($T7+$W7+$X7+U7+V7)</f>
        <v>0.33842477930000003</v>
      </c>
      <c r="AL7" s="16">
        <f t="shared" si="4"/>
        <v>0.33842477930000003</v>
      </c>
      <c r="AM7" s="16">
        <f t="shared" si="4"/>
        <v>0.33842477930000003</v>
      </c>
      <c r="AN7" s="16">
        <f t="shared" si="4"/>
        <v>0.33842477930000003</v>
      </c>
      <c r="AO7" s="16">
        <f t="shared" si="4"/>
        <v>0.33842477930000003</v>
      </c>
      <c r="AP7" s="17">
        <f t="shared" si="7"/>
        <v>0</v>
      </c>
      <c r="AQ7" s="17">
        <f t="shared" si="8"/>
        <v>0</v>
      </c>
      <c r="AR7" s="17">
        <f t="shared" si="9"/>
        <v>0</v>
      </c>
      <c r="AS7" s="17">
        <f t="shared" si="5"/>
        <v>0</v>
      </c>
      <c r="AT7" s="23"/>
      <c r="AU7" s="23"/>
      <c r="AV7" s="23"/>
      <c r="AW7" s="23"/>
    </row>
    <row r="8" spans="1:49" s="13" customFormat="1" ht="13" x14ac:dyDescent="0.3">
      <c r="A8" s="20">
        <v>1</v>
      </c>
      <c r="B8" s="20">
        <v>1</v>
      </c>
      <c r="C8" s="20" t="s">
        <v>36</v>
      </c>
      <c r="D8" s="17">
        <f>Scenario!AN24</f>
        <v>0.39571511265083242</v>
      </c>
      <c r="E8" s="17">
        <f>Scenario!AO24</f>
        <v>0.94364352117798989</v>
      </c>
      <c r="F8" s="17">
        <f>Scenario!AP24</f>
        <v>1.7227076943294906</v>
      </c>
      <c r="G8" s="17">
        <f>Scenario!AQ24</f>
        <v>3.1449607118557816</v>
      </c>
      <c r="H8" s="17">
        <f>Scenario!AR24</f>
        <v>7.4996423063595765</v>
      </c>
      <c r="I8" s="17">
        <f>IF((D8+'Non travel METs'!C8)&gt;2.5,(D8+'Non travel METs'!C8),0.1)</f>
        <v>41.395715112650834</v>
      </c>
      <c r="J8" s="17">
        <f>IF((E8+'Non travel METs'!D8)&gt;2.5,(E8+'Non travel METs'!D8),0.1)</f>
        <v>32.193643521177989</v>
      </c>
      <c r="K8" s="17">
        <f>IF((F8+'Non travel METs'!E8)&gt;2.5,(F8+'Non travel METs'!E8),0.1)</f>
        <v>45.806041027662793</v>
      </c>
      <c r="L8" s="17">
        <f>IF((G8+'Non travel METs'!F8)&gt;2.5,(G8+'Non travel METs'!F8),0.1)</f>
        <v>45.644960711855781</v>
      </c>
      <c r="M8" s="17">
        <f>IF((H8+'Non travel METs'!G8)&gt;2.5,(H8+'Non travel METs'!G8),0.1)</f>
        <v>40.299642306359573</v>
      </c>
      <c r="N8" s="19">
        <v>1</v>
      </c>
      <c r="O8" s="15">
        <f>IF(('user page'!$R$36=0),$N8^(I8^0.25),IF(('user page'!$R$36=1),$N8^(I8^0.5),IF(('user page'!$R$36=2),$N8^(I8^0.375),IF(('user page'!$R$36=4),$N8^(I8),IF(('user page'!$R$36=3),$N8^(LN(1+I8)),"")))))</f>
        <v>1</v>
      </c>
      <c r="P8" s="15">
        <f>IF(('user page'!$R$36=0),$N8^(J8^0.25),IF(('user page'!$R$36=1),$N8^(J8^0.5),IF(('user page'!$R$36=2),$N8^(J8^0.375),IF(('user page'!$R$36=4),$N8^(J8),IF(('user page'!$R$36=3),$N8^(LN(1+J8)),"")))))</f>
        <v>1</v>
      </c>
      <c r="Q8" s="15">
        <f>IF(('user page'!$R$36=0),$N8^(K8^0.25),IF(('user page'!$R$36=1),$N8^(K8^0.5),IF(('user page'!$R$36=2),$N8^(K8^0.375),IF(('user page'!$R$36=4),$N8^(K8),IF(('user page'!$R$36=3),$N8^(LN(1+K8)),"")))))</f>
        <v>1</v>
      </c>
      <c r="R8" s="15">
        <f>IF(('user page'!$R$36=0),$N8^(L8^0.25),IF(('user page'!$R$36=1),$N8^(L8^0.5),IF(('user page'!$R$36=2),$N8^(L8^0.375),IF(('user page'!$R$36=4),$N8^(L8),IF(('user page'!$R$36=3),$N8^(LN(1+L8)),"")))))</f>
        <v>1</v>
      </c>
      <c r="S8" s="15">
        <f>IF(('user page'!$R$36=0),$N8^(M8^0.25),IF(('user page'!$R$36=1),$N8^(M8^0.5),IF(('user page'!$R$36=2),$N8^(M8^0.375),IF(('user page'!$R$36=4),$N8^(M8),IF(('user page'!$R$36=3),$N8^(LN(1+M8)),"")))))</f>
        <v>1</v>
      </c>
      <c r="T8" s="18">
        <f t="shared" si="0"/>
        <v>1</v>
      </c>
      <c r="U8" s="18">
        <f t="shared" si="0"/>
        <v>1</v>
      </c>
      <c r="V8" s="18">
        <f t="shared" si="0"/>
        <v>1</v>
      </c>
      <c r="W8" s="18">
        <f t="shared" si="0"/>
        <v>1</v>
      </c>
      <c r="X8" s="18">
        <f t="shared" si="0"/>
        <v>1</v>
      </c>
      <c r="Y8" s="30">
        <f t="shared" si="6"/>
        <v>0</v>
      </c>
      <c r="Z8" s="269">
        <f t="shared" si="1"/>
        <v>1</v>
      </c>
      <c r="AA8" s="17">
        <f>Z8*GBDNZ!$E8/($T8+$W8+$X8+U8+V8)</f>
        <v>0.17583342494000001</v>
      </c>
      <c r="AB8" s="16">
        <f t="shared" si="2"/>
        <v>0.17583342494000001</v>
      </c>
      <c r="AC8" s="16">
        <f t="shared" si="2"/>
        <v>0.17583342494000001</v>
      </c>
      <c r="AD8" s="16">
        <f t="shared" si="2"/>
        <v>0.17583342494000001</v>
      </c>
      <c r="AE8" s="16">
        <f t="shared" si="2"/>
        <v>0.17583342494000001</v>
      </c>
      <c r="AF8" s="17">
        <f>Z8*GBDNZ!$F8/($T8+$W8+$X8+U8+V8)</f>
        <v>4.1469296635399999</v>
      </c>
      <c r="AG8" s="16">
        <f t="shared" si="3"/>
        <v>4.1469296635399999</v>
      </c>
      <c r="AH8" s="16">
        <f t="shared" si="3"/>
        <v>4.1469296635399999</v>
      </c>
      <c r="AI8" s="16">
        <f t="shared" si="3"/>
        <v>4.1469296635399999</v>
      </c>
      <c r="AJ8" s="16">
        <f t="shared" si="3"/>
        <v>4.1469296635399999</v>
      </c>
      <c r="AK8" s="17">
        <f>Z8*GBDNZ!$G8/($T8+$W8+$X8+U8+V8)</f>
        <v>0.43623630044000006</v>
      </c>
      <c r="AL8" s="16">
        <f t="shared" si="4"/>
        <v>0.43623630044000006</v>
      </c>
      <c r="AM8" s="16">
        <f t="shared" si="4"/>
        <v>0.43623630044000006</v>
      </c>
      <c r="AN8" s="16">
        <f t="shared" si="4"/>
        <v>0.43623630044000006</v>
      </c>
      <c r="AO8" s="16">
        <f t="shared" si="4"/>
        <v>0.43623630044000006</v>
      </c>
      <c r="AP8" s="17">
        <f t="shared" si="7"/>
        <v>0</v>
      </c>
      <c r="AQ8" s="17">
        <f t="shared" si="8"/>
        <v>0</v>
      </c>
      <c r="AR8" s="17">
        <f t="shared" si="9"/>
        <v>0</v>
      </c>
      <c r="AS8" s="17">
        <f t="shared" si="5"/>
        <v>0</v>
      </c>
      <c r="AT8" s="23"/>
      <c r="AU8" s="23"/>
      <c r="AV8" s="23"/>
      <c r="AW8" s="23"/>
    </row>
    <row r="9" spans="1:49" s="13" customFormat="1" ht="13" x14ac:dyDescent="0.3">
      <c r="A9" s="20">
        <v>1</v>
      </c>
      <c r="B9" s="20">
        <v>1</v>
      </c>
      <c r="C9" s="20" t="s">
        <v>35</v>
      </c>
      <c r="D9" s="17">
        <f>Scenario!AN25</f>
        <v>0.48300262725816756</v>
      </c>
      <c r="E9" s="17">
        <f>Scenario!AO25</f>
        <v>1.1517940188609537</v>
      </c>
      <c r="F9" s="17">
        <f>Scenario!AP25</f>
        <v>2.1027054963483303</v>
      </c>
      <c r="G9" s="17">
        <f>Scenario!AQ25</f>
        <v>3.8386815107321977</v>
      </c>
      <c r="H9" s="17">
        <f>Scenario!AR25</f>
        <v>9.1539262000954498</v>
      </c>
      <c r="I9" s="17">
        <f>IF((D9+'Non travel METs'!C9)&gt;2.5,(D9+'Non travel METs'!C9),0.1)</f>
        <v>4.858002627258168</v>
      </c>
      <c r="J9" s="17">
        <f>IF((E9+'Non travel METs'!D9)&gt;2.5,(E9+'Non travel METs'!D9),0.1)</f>
        <v>6.1517940188609535</v>
      </c>
      <c r="K9" s="17">
        <f>IF((F9+'Non travel METs'!E9)&gt;2.5,(F9+'Non travel METs'!E9),0.1)</f>
        <v>10.43603882968166</v>
      </c>
      <c r="L9" s="17">
        <f>IF((G9+'Non travel METs'!F9)&gt;2.5,(G9+'Non travel METs'!F9),0.1)</f>
        <v>7.5886815107321972</v>
      </c>
      <c r="M9" s="17">
        <f>IF((H9+'Non travel METs'!G9)&gt;2.5,(H9+'Non travel METs'!G9),0.1)</f>
        <v>22.278926200095448</v>
      </c>
      <c r="N9" s="19">
        <v>1</v>
      </c>
      <c r="O9" s="15">
        <f>IF(('user page'!$R$36=0),$N9^(I9^0.25),IF(('user page'!$R$36=1),$N9^(I9^0.5),IF(('user page'!$R$36=2),$N9^(I9^0.375),IF(('user page'!$R$36=4),$N9^(I9),IF(('user page'!$R$36=3),$N9^(LN(1+I9)),"")))))</f>
        <v>1</v>
      </c>
      <c r="P9" s="15">
        <f>IF(('user page'!$R$36=0),$N9^(J9^0.25),IF(('user page'!$R$36=1),$N9^(J9^0.5),IF(('user page'!$R$36=2),$N9^(J9^0.375),IF(('user page'!$R$36=4),$N9^(J9),IF(('user page'!$R$36=3),$N9^(LN(1+J9)),"")))))</f>
        <v>1</v>
      </c>
      <c r="Q9" s="15">
        <f>IF(('user page'!$R$36=0),$N9^(K9^0.25),IF(('user page'!$R$36=1),$N9^(K9^0.5),IF(('user page'!$R$36=2),$N9^(K9^0.375),IF(('user page'!$R$36=4),$N9^(K9),IF(('user page'!$R$36=3),$N9^(LN(1+K9)),"")))))</f>
        <v>1</v>
      </c>
      <c r="R9" s="15">
        <f>IF(('user page'!$R$36=0),$N9^(L9^0.25),IF(('user page'!$R$36=1),$N9^(L9^0.5),IF(('user page'!$R$36=2),$N9^(L9^0.375),IF(('user page'!$R$36=4),$N9^(L9),IF(('user page'!$R$36=3),$N9^(LN(1+L9)),"")))))</f>
        <v>1</v>
      </c>
      <c r="S9" s="15">
        <f>IF(('user page'!$R$36=0),$N9^(M9^0.25),IF(('user page'!$R$36=1),$N9^(M9^0.5),IF(('user page'!$R$36=2),$N9^(M9^0.375),IF(('user page'!$R$36=4),$N9^(M9),IF(('user page'!$R$36=3),$N9^(LN(1+M9)),"")))))</f>
        <v>1</v>
      </c>
      <c r="T9" s="18">
        <f t="shared" si="0"/>
        <v>1</v>
      </c>
      <c r="U9" s="18">
        <f t="shared" si="0"/>
        <v>1</v>
      </c>
      <c r="V9" s="18">
        <f t="shared" si="0"/>
        <v>1</v>
      </c>
      <c r="W9" s="18">
        <f t="shared" si="0"/>
        <v>1</v>
      </c>
      <c r="X9" s="18">
        <f t="shared" si="0"/>
        <v>1</v>
      </c>
      <c r="Y9" s="30">
        <f t="shared" si="6"/>
        <v>0</v>
      </c>
      <c r="Z9" s="269">
        <f t="shared" si="1"/>
        <v>1</v>
      </c>
      <c r="AA9" s="17">
        <f>Z9*GBDNZ!$E9/($T9+$W9+$X9+U9+V9)</f>
        <v>0.20986448978</v>
      </c>
      <c r="AB9" s="16">
        <f t="shared" si="2"/>
        <v>0.20986448978</v>
      </c>
      <c r="AC9" s="16">
        <f t="shared" si="2"/>
        <v>0.20986448978</v>
      </c>
      <c r="AD9" s="16">
        <f t="shared" si="2"/>
        <v>0.20986448978</v>
      </c>
      <c r="AE9" s="16">
        <f t="shared" si="2"/>
        <v>0.20986448978</v>
      </c>
      <c r="AF9" s="17">
        <f>Z9*GBDNZ!$F9/($T9+$W9+$X9+U9+V9)</f>
        <v>3.15326476086</v>
      </c>
      <c r="AG9" s="16">
        <f t="shared" si="3"/>
        <v>3.15326476086</v>
      </c>
      <c r="AH9" s="16">
        <f t="shared" si="3"/>
        <v>3.15326476086</v>
      </c>
      <c r="AI9" s="16">
        <f t="shared" si="3"/>
        <v>3.15326476086</v>
      </c>
      <c r="AJ9" s="16">
        <f t="shared" si="3"/>
        <v>3.15326476086</v>
      </c>
      <c r="AK9" s="17">
        <f>Z9*GBDNZ!$G9/($T9+$W9+$X9+U9+V9)</f>
        <v>0.42739350651999997</v>
      </c>
      <c r="AL9" s="16">
        <f t="shared" si="4"/>
        <v>0.42739350651999997</v>
      </c>
      <c r="AM9" s="16">
        <f t="shared" si="4"/>
        <v>0.42739350651999997</v>
      </c>
      <c r="AN9" s="16">
        <f t="shared" si="4"/>
        <v>0.42739350651999997</v>
      </c>
      <c r="AO9" s="16">
        <f t="shared" si="4"/>
        <v>0.42739350651999997</v>
      </c>
      <c r="AP9" s="17">
        <f t="shared" si="7"/>
        <v>0</v>
      </c>
      <c r="AQ9" s="17">
        <f t="shared" si="8"/>
        <v>0</v>
      </c>
      <c r="AR9" s="17">
        <f t="shared" si="9"/>
        <v>0</v>
      </c>
      <c r="AS9" s="17">
        <f t="shared" si="5"/>
        <v>0</v>
      </c>
      <c r="AT9" s="23"/>
      <c r="AU9" s="23"/>
      <c r="AV9" s="23"/>
      <c r="AW9" s="23"/>
    </row>
    <row r="10" spans="1:49" s="13" customFormat="1" ht="13" x14ac:dyDescent="0.3">
      <c r="A10" s="20">
        <v>1</v>
      </c>
      <c r="B10" s="20">
        <v>1</v>
      </c>
      <c r="C10" s="20" t="s">
        <v>34</v>
      </c>
      <c r="D10" s="17">
        <f>Scenario!AN26</f>
        <v>0.23447740333822151</v>
      </c>
      <c r="E10" s="17">
        <f>Scenario!AO26</f>
        <v>0.55914741552463088</v>
      </c>
      <c r="F10" s="17">
        <f>Scenario!AP26</f>
        <v>1.0207748300823047</v>
      </c>
      <c r="G10" s="17">
        <f>Scenario!AQ26</f>
        <v>1.8635179646710851</v>
      </c>
      <c r="H10" s="17">
        <f>Scenario!AR26</f>
        <v>4.4438450737470596</v>
      </c>
      <c r="I10" s="17">
        <f>IF((D10+'Non travel METs'!C10)&gt;2.5,(D10+'Non travel METs'!C10),0.1)</f>
        <v>0.1</v>
      </c>
      <c r="J10" s="17">
        <f>IF((E10+'Non travel METs'!D10)&gt;2.5,(E10+'Non travel METs'!D10),0.1)</f>
        <v>10.559147415524631</v>
      </c>
      <c r="K10" s="17">
        <f>IF((F10+'Non travel METs'!E10)&gt;2.5,(F10+'Non travel METs'!E10),0.1)</f>
        <v>4.7707748300823045</v>
      </c>
      <c r="L10" s="17">
        <f>IF((G10+'Non travel METs'!F10)&gt;2.5,(G10+'Non travel METs'!F10),0.1)</f>
        <v>7.0718512980044155</v>
      </c>
      <c r="M10" s="17">
        <f>IF((H10+'Non travel METs'!G10)&gt;2.5,(H10+'Non travel METs'!G10),0.1)</f>
        <v>4.4438450737470596</v>
      </c>
      <c r="N10" s="19">
        <v>1</v>
      </c>
      <c r="O10" s="15">
        <f>IF(('user page'!$R$36=0),$N10^(I10^0.25),IF(('user page'!$R$36=1),$N10^(I10^0.5),IF(('user page'!$R$36=2),$N10^(I10^0.375),IF(('user page'!$R$36=4),$N10^(I10),IF(('user page'!$R$36=3),$N10^(LN(1+I10)),"")))))</f>
        <v>1</v>
      </c>
      <c r="P10" s="15">
        <f>IF(('user page'!$R$36=0),$N10^(J10^0.25),IF(('user page'!$R$36=1),$N10^(J10^0.5),IF(('user page'!$R$36=2),$N10^(J10^0.375),IF(('user page'!$R$36=4),$N10^(J10),IF(('user page'!$R$36=3),$N10^(LN(1+J10)),"")))))</f>
        <v>1</v>
      </c>
      <c r="Q10" s="15">
        <f>IF(('user page'!$R$36=0),$N10^(K10^0.25),IF(('user page'!$R$36=1),$N10^(K10^0.5),IF(('user page'!$R$36=2),$N10^(K10^0.375),IF(('user page'!$R$36=4),$N10^(K10),IF(('user page'!$R$36=3),$N10^(LN(1+K10)),"")))))</f>
        <v>1</v>
      </c>
      <c r="R10" s="15">
        <f>IF(('user page'!$R$36=0),$N10^(L10^0.25),IF(('user page'!$R$36=1),$N10^(L10^0.5),IF(('user page'!$R$36=2),$N10^(L10^0.375),IF(('user page'!$R$36=4),$N10^(L10),IF(('user page'!$R$36=3),$N10^(LN(1+L10)),"")))))</f>
        <v>1</v>
      </c>
      <c r="S10" s="15">
        <f>IF(('user page'!$R$36=0),$N10^(M10^0.25),IF(('user page'!$R$36=1),$N10^(M10^0.5),IF(('user page'!$R$36=2),$N10^(M10^0.375),IF(('user page'!$R$36=4),$N10^(M10),IF(('user page'!$R$36=3),$N10^(LN(1+M10)),"")))))</f>
        <v>1</v>
      </c>
      <c r="T10" s="18">
        <f t="shared" si="0"/>
        <v>1</v>
      </c>
      <c r="U10" s="18">
        <f t="shared" si="0"/>
        <v>1</v>
      </c>
      <c r="V10" s="18">
        <f t="shared" si="0"/>
        <v>1</v>
      </c>
      <c r="W10" s="18">
        <f t="shared" si="0"/>
        <v>1</v>
      </c>
      <c r="X10" s="18">
        <f t="shared" si="0"/>
        <v>1</v>
      </c>
      <c r="Y10" s="30">
        <f t="shared" si="6"/>
        <v>0</v>
      </c>
      <c r="Z10" s="269">
        <f t="shared" si="1"/>
        <v>1</v>
      </c>
      <c r="AA10" s="17">
        <f>Z10*GBDNZ!$E10/($T10+$W10+$X10+U10+V10)</f>
        <v>0.30464688996</v>
      </c>
      <c r="AB10" s="16">
        <f t="shared" si="2"/>
        <v>0.30464688996</v>
      </c>
      <c r="AC10" s="16">
        <f t="shared" si="2"/>
        <v>0.30464688996</v>
      </c>
      <c r="AD10" s="16">
        <f t="shared" si="2"/>
        <v>0.30464688996</v>
      </c>
      <c r="AE10" s="16">
        <f t="shared" si="2"/>
        <v>0.30464688996</v>
      </c>
      <c r="AF10" s="17">
        <f>Z10*GBDNZ!$F10/($T10+$W10+$X10+U10+V10)</f>
        <v>1.9892844053600001</v>
      </c>
      <c r="AG10" s="16">
        <f t="shared" si="3"/>
        <v>1.9892844053600001</v>
      </c>
      <c r="AH10" s="16">
        <f t="shared" si="3"/>
        <v>1.9892844053600001</v>
      </c>
      <c r="AI10" s="16">
        <f t="shared" si="3"/>
        <v>1.9892844053600001</v>
      </c>
      <c r="AJ10" s="16">
        <f t="shared" si="3"/>
        <v>1.9892844053600001</v>
      </c>
      <c r="AK10" s="17">
        <f>Z10*GBDNZ!$G10/($T10+$W10+$X10+U10+V10)</f>
        <v>0.40745546038000002</v>
      </c>
      <c r="AL10" s="16">
        <f t="shared" si="4"/>
        <v>0.40745546038000002</v>
      </c>
      <c r="AM10" s="16">
        <f t="shared" si="4"/>
        <v>0.40745546038000002</v>
      </c>
      <c r="AN10" s="16">
        <f t="shared" si="4"/>
        <v>0.40745546038000002</v>
      </c>
      <c r="AO10" s="16">
        <f t="shared" si="4"/>
        <v>0.40745546038000002</v>
      </c>
      <c r="AP10" s="17">
        <f t="shared" si="7"/>
        <v>0</v>
      </c>
      <c r="AQ10" s="17">
        <f t="shared" si="8"/>
        <v>0</v>
      </c>
      <c r="AR10" s="17">
        <f t="shared" si="9"/>
        <v>0</v>
      </c>
      <c r="AS10" s="17">
        <f t="shared" si="5"/>
        <v>0</v>
      </c>
      <c r="AT10" s="23"/>
      <c r="AU10" s="23"/>
      <c r="AV10" s="23"/>
      <c r="AW10" s="23"/>
    </row>
    <row r="11" spans="1:49" s="13" customFormat="1" ht="13" x14ac:dyDescent="0.3">
      <c r="A11" s="20">
        <v>1</v>
      </c>
      <c r="B11" s="20">
        <v>2</v>
      </c>
      <c r="C11" s="20" t="s">
        <v>2</v>
      </c>
      <c r="D11" s="17"/>
      <c r="E11" s="17"/>
      <c r="F11" s="17"/>
      <c r="G11" s="17"/>
      <c r="H11" s="17"/>
      <c r="I11" s="17"/>
      <c r="J11" s="17"/>
      <c r="K11" s="17"/>
      <c r="L11" s="17"/>
      <c r="M11" s="17"/>
      <c r="N11" s="19"/>
      <c r="O11" s="15"/>
      <c r="P11" s="15"/>
      <c r="Q11" s="15"/>
      <c r="R11" s="15"/>
      <c r="S11" s="15"/>
      <c r="T11" s="18"/>
      <c r="U11" s="18"/>
      <c r="V11" s="18"/>
      <c r="W11" s="18"/>
      <c r="X11" s="18"/>
      <c r="Y11" s="30"/>
      <c r="Z11" s="269"/>
      <c r="AA11" s="17"/>
      <c r="AB11" s="16"/>
      <c r="AC11" s="16"/>
      <c r="AD11" s="16"/>
      <c r="AE11" s="16"/>
      <c r="AF11" s="17"/>
      <c r="AG11" s="16"/>
      <c r="AH11" s="16"/>
      <c r="AI11" s="16"/>
      <c r="AJ11" s="16"/>
      <c r="AK11" s="17"/>
      <c r="AL11" s="16"/>
      <c r="AM11" s="16"/>
      <c r="AN11" s="16"/>
      <c r="AO11" s="16"/>
      <c r="AP11" s="17"/>
      <c r="AQ11" s="17"/>
      <c r="AR11" s="17"/>
      <c r="AS11" s="17"/>
      <c r="AT11" s="23"/>
      <c r="AU11" s="23"/>
      <c r="AV11" s="23"/>
      <c r="AW11" s="23"/>
    </row>
    <row r="12" spans="1:49" s="13" customFormat="1" ht="13" x14ac:dyDescent="0.3">
      <c r="A12" s="20">
        <v>1</v>
      </c>
      <c r="B12" s="20">
        <v>2</v>
      </c>
      <c r="C12" s="20" t="s">
        <v>40</v>
      </c>
      <c r="D12" s="17"/>
      <c r="E12" s="17"/>
      <c r="F12" s="17"/>
      <c r="G12" s="17"/>
      <c r="H12" s="17"/>
      <c r="I12" s="17"/>
      <c r="J12" s="17"/>
      <c r="K12" s="17"/>
      <c r="L12" s="17"/>
      <c r="M12" s="17"/>
      <c r="N12" s="19"/>
      <c r="O12" s="15"/>
      <c r="P12" s="15"/>
      <c r="Q12" s="15"/>
      <c r="R12" s="15"/>
      <c r="S12" s="15"/>
      <c r="T12" s="18"/>
      <c r="U12" s="18"/>
      <c r="V12" s="18"/>
      <c r="W12" s="18"/>
      <c r="X12" s="18"/>
      <c r="Y12" s="30"/>
      <c r="Z12" s="269"/>
      <c r="AA12" s="17"/>
      <c r="AB12" s="16"/>
      <c r="AC12" s="16"/>
      <c r="AD12" s="16"/>
      <c r="AE12" s="16"/>
      <c r="AF12" s="17"/>
      <c r="AG12" s="16"/>
      <c r="AH12" s="16"/>
      <c r="AI12" s="16"/>
      <c r="AJ12" s="16"/>
      <c r="AK12" s="17"/>
      <c r="AL12" s="16"/>
      <c r="AM12" s="16"/>
      <c r="AN12" s="16"/>
      <c r="AO12" s="16"/>
      <c r="AP12" s="17"/>
      <c r="AQ12" s="17"/>
      <c r="AR12" s="17"/>
      <c r="AS12" s="17"/>
      <c r="AT12" s="23"/>
      <c r="AU12" s="23"/>
      <c r="AV12" s="23"/>
      <c r="AW12" s="23"/>
    </row>
    <row r="13" spans="1:49" s="13" customFormat="1" ht="13" x14ac:dyDescent="0.3">
      <c r="A13" s="20">
        <v>1</v>
      </c>
      <c r="B13" s="20">
        <v>2</v>
      </c>
      <c r="C13" s="20" t="s">
        <v>39</v>
      </c>
      <c r="D13" s="17">
        <f>Scenario!AN29</f>
        <v>0.36317941114117153</v>
      </c>
      <c r="E13" s="17">
        <f>Scenario!AO29</f>
        <v>0.86605713906863857</v>
      </c>
      <c r="F13" s="17">
        <f>Scenario!AP29</f>
        <v>1.5810666461632132</v>
      </c>
      <c r="G13" s="17">
        <f>Scenario!AQ29</f>
        <v>2.8863820028064824</v>
      </c>
      <c r="H13" s="17">
        <f>Scenario!AR29</f>
        <v>6.8830216221648746</v>
      </c>
      <c r="I13" s="17">
        <f>IF((D13+'Non travel METs'!C13)&gt;2.5,(D13+'Non travel METs'!C13),0.1)</f>
        <v>9.2298460778078422</v>
      </c>
      <c r="J13" s="17">
        <f>IF((E13+'Non travel METs'!D13)&gt;2.5,(E13+'Non travel METs'!D13),0.1)</f>
        <v>25.466057139068639</v>
      </c>
      <c r="K13" s="17">
        <f>IF((F13+'Non travel METs'!E13)&gt;2.5,(F13+'Non travel METs'!E13),0.1)</f>
        <v>31.431066646163213</v>
      </c>
      <c r="L13" s="17">
        <f>IF((G13+'Non travel METs'!F13)&gt;2.5,(G13+'Non travel METs'!F13),0.1)</f>
        <v>33.286382002806484</v>
      </c>
      <c r="M13" s="17">
        <f>IF((H13+'Non travel METs'!G13)&gt;2.5,(H13+'Non travel METs'!G13),0.1)</f>
        <v>47.883021622164875</v>
      </c>
      <c r="N13" s="19">
        <f>'Phy activity RRs'!$C$4</f>
        <v>0.97319906938028322</v>
      </c>
      <c r="O13" s="15">
        <f>IF(('user page'!$R$36=0),$N13^(I13^0.25),IF(('user page'!$R$36=1),$N13^(I13^0.5),IF(('user page'!$R$36=2),$N13^(I13^0.375),IF(('user page'!$R$36=4),$N13^(I13),IF(('user page'!$R$36=3),$N13^(LN(1+I13)),"")))))</f>
        <v>0.92078012858070291</v>
      </c>
      <c r="P13" s="15">
        <f>IF(('user page'!$R$36=0),$N13^(J13^0.25),IF(('user page'!$R$36=1),$N13^(J13^0.5),IF(('user page'!$R$36=2),$N13^(J13^0.375),IF(('user page'!$R$36=4),$N13^(J13),IF(('user page'!$R$36=3),$N13^(LN(1+J13)),"")))))</f>
        <v>0.87188879223169036</v>
      </c>
      <c r="Q13" s="15">
        <f>IF(('user page'!$R$36=0),$N13^(K13^0.25),IF(('user page'!$R$36=1),$N13^(K13^0.5),IF(('user page'!$R$36=2),$N13^(K13^0.375),IF(('user page'!$R$36=4),$N13^(K13),IF(('user page'!$R$36=3),$N13^(LN(1+K13)),"")))))</f>
        <v>0.85872600527190379</v>
      </c>
      <c r="R13" s="15">
        <f>IF(('user page'!$R$36=0),$N13^(L13^0.25),IF(('user page'!$R$36=1),$N13^(L13^0.5),IF(('user page'!$R$36=2),$N13^(L13^0.375),IF(('user page'!$R$36=4),$N13^(L13),IF(('user page'!$R$36=3),$N13^(LN(1+L13)),"")))))</f>
        <v>0.85492966431785744</v>
      </c>
      <c r="S13" s="15">
        <f>IF(('user page'!$R$36=0),$N13^(M13^0.25),IF(('user page'!$R$36=1),$N13^(M13^0.5),IF(('user page'!$R$36=2),$N13^(M13^0.375),IF(('user page'!$R$36=4),$N13^(M13),IF(('user page'!$R$36=3),$N13^(LN(1+M13)),"")))))</f>
        <v>0.82862596922667386</v>
      </c>
      <c r="T13" s="18">
        <f t="shared" ref="T13:X18" si="10">O13/$O13</f>
        <v>1</v>
      </c>
      <c r="U13" s="18">
        <f t="shared" si="10"/>
        <v>0.94690226816213552</v>
      </c>
      <c r="V13" s="18">
        <f t="shared" si="10"/>
        <v>0.93260701292017478</v>
      </c>
      <c r="W13" s="18">
        <f t="shared" si="10"/>
        <v>0.92848405149191493</v>
      </c>
      <c r="X13" s="18">
        <f t="shared" si="10"/>
        <v>0.89991730219452482</v>
      </c>
      <c r="Y13" s="30">
        <f t="shared" si="6"/>
        <v>-3.5093128429730669E-4</v>
      </c>
      <c r="Z13" s="269">
        <f t="shared" ref="Z13:Z18" si="11">SUM(O13:S13)/SUM(O30:S30)</f>
        <v>1.0003509312842973</v>
      </c>
      <c r="AA13" s="17">
        <f>Z13*GBDNZ!$E13/($T13+$W13+$X13+U13+V13)</f>
        <v>0.48695905938930401</v>
      </c>
      <c r="AB13" s="16">
        <f t="shared" ref="AB13:AE18" si="12">$AA13*U13</f>
        <v>0.46110263783783201</v>
      </c>
      <c r="AC13" s="16">
        <f t="shared" si="12"/>
        <v>0.45414143379147681</v>
      </c>
      <c r="AD13" s="16">
        <f t="shared" si="12"/>
        <v>0.45213372037247301</v>
      </c>
      <c r="AE13" s="16">
        <f t="shared" si="12"/>
        <v>0.43822288300480583</v>
      </c>
      <c r="AF13" s="17">
        <f>Z13*GBDNZ!$F13/($T13+$W13+$X13+U13+V13)</f>
        <v>29.574009242865646</v>
      </c>
      <c r="AG13" s="16">
        <f t="shared" ref="AG13:AJ18" si="13">$AF13*U13</f>
        <v>28.00369643071744</v>
      </c>
      <c r="AH13" s="16">
        <f t="shared" si="13"/>
        <v>27.58092842006257</v>
      </c>
      <c r="AI13" s="16">
        <f t="shared" si="13"/>
        <v>27.458995920675235</v>
      </c>
      <c r="AJ13" s="16">
        <f t="shared" si="13"/>
        <v>26.614162612915592</v>
      </c>
      <c r="AK13" s="17">
        <f>Z13*GBDNZ!$G13/($T13+$W13+$X13+U13+V13)</f>
        <v>1.2239398153725762</v>
      </c>
      <c r="AL13" s="16">
        <f t="shared" ref="AL13:AO18" si="14">$AK13*U13</f>
        <v>1.1589513872702377</v>
      </c>
      <c r="AM13" s="16">
        <f t="shared" si="14"/>
        <v>1.1414548552086885</v>
      </c>
      <c r="AN13" s="16">
        <f t="shared" si="14"/>
        <v>1.1364085985593959</v>
      </c>
      <c r="AO13" s="16">
        <f t="shared" si="14"/>
        <v>1.1014446166985536</v>
      </c>
      <c r="AP13" s="17">
        <f t="shared" si="7"/>
        <v>8.0424869589162951E-4</v>
      </c>
      <c r="AQ13" s="17">
        <f t="shared" si="8"/>
        <v>4.884365103645294E-2</v>
      </c>
      <c r="AR13" s="17">
        <f t="shared" si="9"/>
        <v>2.0214266094515931E-3</v>
      </c>
      <c r="AS13" s="17">
        <f t="shared" ref="AS13:AS18" si="15">AQ13+AR13</f>
        <v>5.0865077645904533E-2</v>
      </c>
      <c r="AT13" s="23"/>
      <c r="AU13" s="23"/>
      <c r="AV13" s="23"/>
      <c r="AW13" s="23"/>
    </row>
    <row r="14" spans="1:49" s="13" customFormat="1" ht="13" x14ac:dyDescent="0.3">
      <c r="A14" s="20">
        <v>1</v>
      </c>
      <c r="B14" s="20">
        <v>2</v>
      </c>
      <c r="C14" s="20" t="s">
        <v>38</v>
      </c>
      <c r="D14" s="17">
        <f>Scenario!AN30</f>
        <v>0.30288827772466836</v>
      </c>
      <c r="E14" s="17">
        <f>Scenario!AO30</f>
        <v>0.72228366261017962</v>
      </c>
      <c r="F14" s="17">
        <f>Scenario!AP30</f>
        <v>1.3185949939165058</v>
      </c>
      <c r="G14" s="17">
        <f>Scenario!AQ30</f>
        <v>2.4072159568145346</v>
      </c>
      <c r="H14" s="17">
        <f>Scenario!AR30</f>
        <v>5.7403765211480957</v>
      </c>
      <c r="I14" s="17">
        <f>IF((D14+'Non travel METs'!C14)&gt;2.5,(D14+'Non travel METs'!C14),0.1)</f>
        <v>41.302888277724669</v>
      </c>
      <c r="J14" s="17">
        <f>IF((E14+'Non travel METs'!D14)&gt;2.5,(E14+'Non travel METs'!D14),0.1)</f>
        <v>36.597283662610181</v>
      </c>
      <c r="K14" s="17">
        <f>IF((F14+'Non travel METs'!E14)&gt;2.5,(F14+'Non travel METs'!E14),0.1)</f>
        <v>40.168594993916507</v>
      </c>
      <c r="L14" s="17">
        <f>IF((G14+'Non travel METs'!F14)&gt;2.5,(G14+'Non travel METs'!F14),0.1)</f>
        <v>43.407215956814532</v>
      </c>
      <c r="M14" s="17">
        <f>IF((H14+'Non travel METs'!G14)&gt;2.5,(H14+'Non travel METs'!G14),0.1)</f>
        <v>48.007043187814794</v>
      </c>
      <c r="N14" s="19">
        <f>'Phy activity RRs'!$C$4</f>
        <v>0.97319906938028322</v>
      </c>
      <c r="O14" s="15">
        <f>IF(('user page'!$R$36=0),$N14^(I14^0.25),IF(('user page'!$R$36=1),$N14^(I14^0.5),IF(('user page'!$R$36=2),$N14^(I14^0.375),IF(('user page'!$R$36=4),$N14^(I14),IF(('user page'!$R$36=3),$N14^(LN(1+I14)),"")))))</f>
        <v>0.83979906636249202</v>
      </c>
      <c r="P14" s="15">
        <f>IF(('user page'!$R$36=0),$N14^(J14^0.25),IF(('user page'!$R$36=1),$N14^(J14^0.5),IF(('user page'!$R$36=2),$N14^(J14^0.375),IF(('user page'!$R$36=4),$N14^(J14),IF(('user page'!$R$36=3),$N14^(LN(1+J14)),"")))))</f>
        <v>0.84844809814682975</v>
      </c>
      <c r="Q14" s="15">
        <f>IF(('user page'!$R$36=0),$N14^(K14^0.25),IF(('user page'!$R$36=1),$N14^(K14^0.5),IF(('user page'!$R$36=2),$N14^(K14^0.375),IF(('user page'!$R$36=4),$N14^(K14),IF(('user page'!$R$36=3),$N14^(LN(1+K14)),"")))))</f>
        <v>0.84182886734396545</v>
      </c>
      <c r="R14" s="15">
        <f>IF(('user page'!$R$36=0),$N14^(L14^0.25),IF(('user page'!$R$36=1),$N14^(L14^0.5),IF(('user page'!$R$36=2),$N14^(L14^0.375),IF(('user page'!$R$36=4),$N14^(L14),IF(('user page'!$R$36=3),$N14^(LN(1+L14)),"")))))</f>
        <v>0.83611843866163738</v>
      </c>
      <c r="S14" s="15">
        <f>IF(('user page'!$R$36=0),$N14^(M14^0.25),IF(('user page'!$R$36=1),$N14^(M14^0.5),IF(('user page'!$R$36=2),$N14^(M14^0.375),IF(('user page'!$R$36=4),$N14^(M14),IF(('user page'!$R$36=3),$N14^(LN(1+M14)),"")))))</f>
        <v>0.82842439412662194</v>
      </c>
      <c r="T14" s="18">
        <f t="shared" si="10"/>
        <v>1</v>
      </c>
      <c r="U14" s="18">
        <f t="shared" si="10"/>
        <v>1.0102989299830973</v>
      </c>
      <c r="V14" s="18">
        <f t="shared" si="10"/>
        <v>1.0024170079043613</v>
      </c>
      <c r="W14" s="18">
        <f t="shared" si="10"/>
        <v>0.99561725197338347</v>
      </c>
      <c r="X14" s="18">
        <f t="shared" si="10"/>
        <v>0.98645548358949908</v>
      </c>
      <c r="Y14" s="30">
        <f t="shared" si="6"/>
        <v>-2.5099114487980856E-4</v>
      </c>
      <c r="Z14" s="269">
        <f t="shared" si="11"/>
        <v>1.0002509911448798</v>
      </c>
      <c r="AA14" s="17">
        <f>Z14*GBDNZ!$E14/($T14+$W14+$X14+U14+V14)</f>
        <v>10.356794379773181</v>
      </c>
      <c r="AB14" s="16">
        <f t="shared" si="12"/>
        <v>10.4634582799398</v>
      </c>
      <c r="AC14" s="16">
        <f t="shared" si="12"/>
        <v>10.381826833652937</v>
      </c>
      <c r="AD14" s="16">
        <f t="shared" si="12"/>
        <v>10.311403159643156</v>
      </c>
      <c r="AE14" s="16">
        <f t="shared" si="12"/>
        <v>10.216516608336159</v>
      </c>
      <c r="AF14" s="17">
        <f>Z14*GBDNZ!$F14/($T14+$W14+$X14+U14+V14)</f>
        <v>489.52562973430031</v>
      </c>
      <c r="AG14" s="16">
        <f t="shared" si="13"/>
        <v>494.56721991986552</v>
      </c>
      <c r="AH14" s="16">
        <f t="shared" si="13"/>
        <v>490.70881705075556</v>
      </c>
      <c r="AI14" s="16">
        <f t="shared" si="13"/>
        <v>487.38016224660407</v>
      </c>
      <c r="AJ14" s="16">
        <f t="shared" si="13"/>
        <v>482.89524180900327</v>
      </c>
      <c r="AK14" s="17">
        <f>Z14*GBDNZ!$G14/($T14+$W14+$X14+U14+V14)</f>
        <v>21.205812769250311</v>
      </c>
      <c r="AL14" s="16">
        <f t="shared" si="14"/>
        <v>21.424209950195493</v>
      </c>
      <c r="AM14" s="16">
        <f t="shared" si="14"/>
        <v>21.257067386331993</v>
      </c>
      <c r="AN14" s="16">
        <f t="shared" si="14"/>
        <v>21.112873035183078</v>
      </c>
      <c r="AO14" s="16">
        <f t="shared" si="14"/>
        <v>20.918590290199191</v>
      </c>
      <c r="AP14" s="17">
        <f t="shared" si="7"/>
        <v>1.2980513745233679E-2</v>
      </c>
      <c r="AQ14" s="17">
        <f t="shared" si="8"/>
        <v>0.61353870052835191</v>
      </c>
      <c r="AR14" s="17">
        <f t="shared" si="9"/>
        <v>2.6577948160063869E-2</v>
      </c>
      <c r="AS14" s="17">
        <f t="shared" si="15"/>
        <v>0.64011664868841578</v>
      </c>
      <c r="AT14" s="23"/>
      <c r="AU14" s="23"/>
      <c r="AV14" s="23"/>
      <c r="AW14" s="23"/>
    </row>
    <row r="15" spans="1:49" s="13" customFormat="1" ht="13" x14ac:dyDescent="0.3">
      <c r="A15" s="20">
        <v>1</v>
      </c>
      <c r="B15" s="20">
        <v>2</v>
      </c>
      <c r="C15" s="20" t="s">
        <v>37</v>
      </c>
      <c r="D15" s="17">
        <f>Scenario!AN31</f>
        <v>0.44144644170812064</v>
      </c>
      <c r="E15" s="17">
        <f>Scenario!AO31</f>
        <v>1.0526969057977646</v>
      </c>
      <c r="F15" s="17">
        <f>Scenario!AP31</f>
        <v>1.9217946382451725</v>
      </c>
      <c r="G15" s="17">
        <f>Scenario!AQ31</f>
        <v>3.5084121661676253</v>
      </c>
      <c r="H15" s="17">
        <f>Scenario!AR31</f>
        <v>8.3663481741911028</v>
      </c>
      <c r="I15" s="17">
        <f>IF((D15+'Non travel METs'!C15)&gt;2.5,(D15+'Non travel METs'!C15),0.1)</f>
        <v>42.091446441708122</v>
      </c>
      <c r="J15" s="17">
        <f>IF((E15+'Non travel METs'!D15)&gt;2.5,(E15+'Non travel METs'!D15),0.1)</f>
        <v>44.102696905797764</v>
      </c>
      <c r="K15" s="17">
        <f>IF((F15+'Non travel METs'!E15)&gt;2.5,(F15+'Non travel METs'!E15),0.1)</f>
        <v>47.988461304911873</v>
      </c>
      <c r="L15" s="17">
        <f>IF((G15+'Non travel METs'!F15)&gt;2.5,(G15+'Non travel METs'!F15),0.1)</f>
        <v>44.508412166167624</v>
      </c>
      <c r="M15" s="17">
        <f>IF((H15+'Non travel METs'!G15)&gt;2.5,(H15+'Non travel METs'!G15),0.1)</f>
        <v>49.366348174191103</v>
      </c>
      <c r="N15" s="19">
        <f>'Phy activity RRs'!$C$4</f>
        <v>0.97319906938028322</v>
      </c>
      <c r="O15" s="15">
        <f>IF(('user page'!$R$36=0),$N15^(I15^0.25),IF(('user page'!$R$36=1),$N15^(I15^0.5),IF(('user page'!$R$36=2),$N15^(I15^0.375),IF(('user page'!$R$36=4),$N15^(I15),IF(('user page'!$R$36=3),$N15^(LN(1+I15)),"")))))</f>
        <v>0.83840717215537364</v>
      </c>
      <c r="P15" s="15">
        <f>IF(('user page'!$R$36=0),$N15^(J15^0.25),IF(('user page'!$R$36=1),$N15^(J15^0.5),IF(('user page'!$R$36=2),$N15^(J15^0.375),IF(('user page'!$R$36=4),$N15^(J15),IF(('user page'!$R$36=3),$N15^(LN(1+J15)),"")))))</f>
        <v>0.83492516945182416</v>
      </c>
      <c r="Q15" s="15">
        <f>IF(('user page'!$R$36=0),$N15^(K15^0.25),IF(('user page'!$R$36=1),$N15^(K15^0.5),IF(('user page'!$R$36=2),$N15^(K15^0.375),IF(('user page'!$R$36=4),$N15^(K15),IF(('user page'!$R$36=3),$N15^(LN(1+K15)),"")))))</f>
        <v>0.82845457596871086</v>
      </c>
      <c r="R15" s="15">
        <f>IF(('user page'!$R$36=0),$N15^(L15^0.25),IF(('user page'!$R$36=1),$N15^(L15^0.5),IF(('user page'!$R$36=2),$N15^(L15^0.375),IF(('user page'!$R$36=4),$N15^(L15),IF(('user page'!$R$36=3),$N15^(LN(1+L15)),"")))))</f>
        <v>0.83423418725914988</v>
      </c>
      <c r="S15" s="15">
        <f>IF(('user page'!$R$36=0),$N15^(M15^0.25),IF(('user page'!$R$36=1),$N15^(M15^0.5),IF(('user page'!$R$36=2),$N15^(M15^0.375),IF(('user page'!$R$36=4),$N15^(M15),IF(('user page'!$R$36=3),$N15^(LN(1+M15)),"")))))</f>
        <v>0.82623508844314308</v>
      </c>
      <c r="T15" s="18">
        <f t="shared" si="10"/>
        <v>1</v>
      </c>
      <c r="U15" s="18">
        <f t="shared" si="10"/>
        <v>0.99584688344853023</v>
      </c>
      <c r="V15" s="18">
        <f t="shared" si="10"/>
        <v>0.9881291614418366</v>
      </c>
      <c r="W15" s="18">
        <f t="shared" si="10"/>
        <v>0.99502272280723003</v>
      </c>
      <c r="X15" s="18">
        <f t="shared" si="10"/>
        <v>0.98548189457762081</v>
      </c>
      <c r="Y15" s="30">
        <f t="shared" si="6"/>
        <v>-2.6887310040057955E-4</v>
      </c>
      <c r="Z15" s="269">
        <f t="shared" si="11"/>
        <v>1.0002688731004006</v>
      </c>
      <c r="AA15" s="17">
        <f>Z15*GBDNZ!$E15/($T15+$W15+$X15+U15+V15)</f>
        <v>39.356815208873769</v>
      </c>
      <c r="AB15" s="16">
        <f t="shared" si="12"/>
        <v>39.193361768216661</v>
      </c>
      <c r="AC15" s="16">
        <f t="shared" si="12"/>
        <v>38.889616809365762</v>
      </c>
      <c r="AD15" s="16">
        <f t="shared" si="12"/>
        <v>39.160925430154577</v>
      </c>
      <c r="AE15" s="16">
        <f t="shared" si="12"/>
        <v>38.78542881658224</v>
      </c>
      <c r="AF15" s="17">
        <f>Z15*GBDNZ!$F15/($T15+$W15+$X15+U15+V15)</f>
        <v>1370.2050204762952</v>
      </c>
      <c r="AG15" s="16">
        <f t="shared" si="13"/>
        <v>1364.5143993268482</v>
      </c>
      <c r="AH15" s="16">
        <f t="shared" si="13"/>
        <v>1353.9395378866361</v>
      </c>
      <c r="AI15" s="16">
        <f t="shared" si="13"/>
        <v>1363.3851302784597</v>
      </c>
      <c r="AJ15" s="16">
        <f t="shared" si="13"/>
        <v>1350.312239538747</v>
      </c>
      <c r="AK15" s="17">
        <f>Z15*GBDNZ!$G15/($T15+$W15+$X15+U15+V15)</f>
        <v>92.857046128216254</v>
      </c>
      <c r="AL15" s="16">
        <f t="shared" si="14"/>
        <v>92.471399993020569</v>
      </c>
      <c r="AM15" s="16">
        <f t="shared" si="14"/>
        <v>91.754755124640269</v>
      </c>
      <c r="AN15" s="16">
        <f t="shared" si="14"/>
        <v>92.394870870334287</v>
      </c>
      <c r="AO15" s="16">
        <f t="shared" si="14"/>
        <v>91.508937743316082</v>
      </c>
      <c r="AP15" s="17">
        <f t="shared" si="7"/>
        <v>5.2519958193016691E-2</v>
      </c>
      <c r="AQ15" s="17">
        <f t="shared" si="8"/>
        <v>1.8284790069856172</v>
      </c>
      <c r="AR15" s="17">
        <f t="shared" si="9"/>
        <v>0.12391368952751236</v>
      </c>
      <c r="AS15" s="17">
        <f t="shared" si="15"/>
        <v>1.9523926965131295</v>
      </c>
      <c r="AT15" s="23"/>
      <c r="AU15" s="23"/>
      <c r="AV15" s="23"/>
      <c r="AW15" s="23"/>
    </row>
    <row r="16" spans="1:49" s="13" customFormat="1" ht="13" x14ac:dyDescent="0.3">
      <c r="A16" s="20">
        <v>1</v>
      </c>
      <c r="B16" s="20">
        <v>2</v>
      </c>
      <c r="C16" s="20" t="s">
        <v>36</v>
      </c>
      <c r="D16" s="17">
        <f>Scenario!AN32</f>
        <v>0.3316861829647314</v>
      </c>
      <c r="E16" s="17">
        <f>Scenario!AO32</f>
        <v>0.79095669488646103</v>
      </c>
      <c r="F16" s="17">
        <f>Scenario!AP32</f>
        <v>1.4439639054177522</v>
      </c>
      <c r="G16" s="17">
        <f>Scenario!AQ32</f>
        <v>2.6360883897045526</v>
      </c>
      <c r="H16" s="17">
        <f>Scenario!AR32</f>
        <v>6.2861580229616978</v>
      </c>
      <c r="I16" s="17">
        <f>IF((D16+'Non travel METs'!C16)&gt;2.5,(D16+'Non travel METs'!C16),0.1)</f>
        <v>33.131686182964728</v>
      </c>
      <c r="J16" s="17">
        <f>IF((E16+'Non travel METs'!D16)&gt;2.5,(E16+'Non travel METs'!D16),0.1)</f>
        <v>18.790956694886461</v>
      </c>
      <c r="K16" s="17">
        <f>IF((F16+'Non travel METs'!E16)&gt;2.5,(F16+'Non travel METs'!E16),0.1)</f>
        <v>33.193963905417753</v>
      </c>
      <c r="L16" s="17">
        <f>IF((G16+'Non travel METs'!F16)&gt;2.5,(G16+'Non travel METs'!F16),0.1)</f>
        <v>23.136088389704554</v>
      </c>
      <c r="M16" s="17">
        <f>IF((H16+'Non travel METs'!G16)&gt;2.5,(H16+'Non travel METs'!G16),0.1)</f>
        <v>10.786158022961697</v>
      </c>
      <c r="N16" s="19">
        <f>'Phy activity RRs'!$C$4</f>
        <v>0.97319906938028322</v>
      </c>
      <c r="O16" s="15">
        <f>IF(('user page'!$R$36=0),$N16^(I16^0.25),IF(('user page'!$R$36=1),$N16^(I16^0.5),IF(('user page'!$R$36=2),$N16^(I16^0.375),IF(('user page'!$R$36=4),$N16^(I16),IF(('user page'!$R$36=3),$N16^(LN(1+I16)),"")))))</f>
        <v>0.85524145705913468</v>
      </c>
      <c r="P16" s="15">
        <f>IF(('user page'!$R$36=0),$N16^(J16^0.25),IF(('user page'!$R$36=1),$N16^(J16^0.5),IF(('user page'!$R$36=2),$N16^(J16^0.375),IF(('user page'!$R$36=4),$N16^(J16),IF(('user page'!$R$36=3),$N16^(LN(1+J16)),"")))))</f>
        <v>0.88890639431340879</v>
      </c>
      <c r="Q16" s="15">
        <f>IF(('user page'!$R$36=0),$N16^(K16^0.25),IF(('user page'!$R$36=1),$N16^(K16^0.5),IF(('user page'!$R$36=2),$N16^(K16^0.375),IF(('user page'!$R$36=4),$N16^(K16),IF(('user page'!$R$36=3),$N16^(LN(1+K16)),"")))))</f>
        <v>0.85511583394997426</v>
      </c>
      <c r="R16" s="15">
        <f>IF(('user page'!$R$36=0),$N16^(L16^0.25),IF(('user page'!$R$36=1),$N16^(L16^0.5),IF(('user page'!$R$36=2),$N16^(L16^0.375),IF(('user page'!$R$36=4),$N16^(L16),IF(('user page'!$R$36=3),$N16^(LN(1+L16)),"")))))</f>
        <v>0.87750604902175144</v>
      </c>
      <c r="S16" s="15">
        <f>IF(('user page'!$R$36=0),$N16^(M16^0.25),IF(('user page'!$R$36=1),$N16^(M16^0.5),IF(('user page'!$R$36=2),$N16^(M16^0.375),IF(('user page'!$R$36=4),$N16^(M16),IF(('user page'!$R$36=3),$N16^(LN(1+M16)),"")))))</f>
        <v>0.91464304302598998</v>
      </c>
      <c r="T16" s="18">
        <f t="shared" si="10"/>
        <v>1</v>
      </c>
      <c r="U16" s="18">
        <f t="shared" si="10"/>
        <v>1.0393630792525372</v>
      </c>
      <c r="V16" s="18">
        <f t="shared" si="10"/>
        <v>0.99985311386845954</v>
      </c>
      <c r="W16" s="18">
        <f t="shared" si="10"/>
        <v>1.0260331065324835</v>
      </c>
      <c r="X16" s="18">
        <f t="shared" si="10"/>
        <v>1.0694559243784976</v>
      </c>
      <c r="Y16" s="30">
        <f t="shared" si="6"/>
        <v>-5.6909351684564236E-4</v>
      </c>
      <c r="Z16" s="269">
        <f t="shared" si="11"/>
        <v>1.0005690935168456</v>
      </c>
      <c r="AA16" s="17">
        <f>Z16*GBDNZ!$E16/($T16+$W16+$X16+U16+V16)</f>
        <v>33.198584315062035</v>
      </c>
      <c r="AB16" s="16">
        <f t="shared" si="12"/>
        <v>34.505382820527863</v>
      </c>
      <c r="AC16" s="16">
        <f t="shared" si="12"/>
        <v>33.193707903439375</v>
      </c>
      <c r="AD16" s="16">
        <f t="shared" si="12"/>
        <v>34.062846597263679</v>
      </c>
      <c r="AE16" s="16">
        <f t="shared" si="12"/>
        <v>35.504422676722157</v>
      </c>
      <c r="AF16" s="17">
        <f>Z16*GBDNZ!$F16/($T16+$W16+$X16+U16+V16)</f>
        <v>793.9978161934373</v>
      </c>
      <c r="AG16" s="16">
        <f t="shared" si="13"/>
        <v>825.25201515860101</v>
      </c>
      <c r="AH16" s="16">
        <f t="shared" si="13"/>
        <v>793.88118892576506</v>
      </c>
      <c r="AI16" s="16">
        <f t="shared" si="13"/>
        <v>814.66804592896028</v>
      </c>
      <c r="AJ16" s="16">
        <f t="shared" si="13"/>
        <v>849.14566847166088</v>
      </c>
      <c r="AK16" s="17">
        <f>Z16*GBDNZ!$G16/($T16+$W16+$X16+U16+V16)</f>
        <v>79.91998057264712</v>
      </c>
      <c r="AL16" s="16">
        <f t="shared" si="14"/>
        <v>83.065877101789468</v>
      </c>
      <c r="AM16" s="16">
        <f t="shared" si="14"/>
        <v>79.908241435868021</v>
      </c>
      <c r="AN16" s="16">
        <f t="shared" si="14"/>
        <v>82.000545940968848</v>
      </c>
      <c r="AO16" s="16">
        <f t="shared" si="14"/>
        <v>85.470896699631894</v>
      </c>
      <c r="AP16" s="17">
        <f t="shared" si="7"/>
        <v>9.6955318015091052E-2</v>
      </c>
      <c r="AQ16" s="17">
        <f t="shared" si="8"/>
        <v>2.3188431784245722</v>
      </c>
      <c r="AR16" s="17">
        <f t="shared" si="9"/>
        <v>0.23340354090535698</v>
      </c>
      <c r="AS16" s="17">
        <f t="shared" si="15"/>
        <v>2.5522467193299292</v>
      </c>
      <c r="AT16" s="23"/>
      <c r="AU16" s="23"/>
      <c r="AV16" s="23"/>
      <c r="AW16" s="23"/>
    </row>
    <row r="17" spans="1:49" s="13" customFormat="1" ht="13" x14ac:dyDescent="0.3">
      <c r="A17" s="20">
        <v>1</v>
      </c>
      <c r="B17" s="20">
        <v>2</v>
      </c>
      <c r="C17" s="20" t="s">
        <v>35</v>
      </c>
      <c r="D17" s="17">
        <f>Scenario!AN33</f>
        <v>0.28952396631326538</v>
      </c>
      <c r="E17" s="17">
        <f>Scenario!AO33</f>
        <v>0.69041440749405425</v>
      </c>
      <c r="F17" s="17">
        <f>Scenario!AP33</f>
        <v>1.2604147491853572</v>
      </c>
      <c r="G17" s="17">
        <f>Scenario!AQ33</f>
        <v>2.3010025902127014</v>
      </c>
      <c r="H17" s="17">
        <f>Scenario!AR33</f>
        <v>5.4870944198279963</v>
      </c>
      <c r="I17" s="17">
        <f>IF((D17+'Non travel METs'!C17)&gt;2.5,(D17+'Non travel METs'!C17),0.1)</f>
        <v>6.1228572996465953</v>
      </c>
      <c r="J17" s="17">
        <f>IF((E17+'Non travel METs'!D17)&gt;2.5,(E17+'Non travel METs'!D17),0.1)</f>
        <v>5.6904144074940541</v>
      </c>
      <c r="K17" s="17">
        <f>IF((F17+'Non travel METs'!E17)&gt;2.5,(F17+'Non travel METs'!E17),0.1)</f>
        <v>3.7604147491853572</v>
      </c>
      <c r="L17" s="17">
        <f>IF((G17+'Non travel METs'!F17)&gt;2.5,(G17+'Non travel METs'!F17),0.1)</f>
        <v>6.0510025902127014</v>
      </c>
      <c r="M17" s="17">
        <f>IF((H17+'Non travel METs'!G17)&gt;2.5,(H17+'Non travel METs'!G17),0.1)</f>
        <v>5.4870944198279963</v>
      </c>
      <c r="N17" s="19">
        <f>'Phy activity RRs'!$C$4</f>
        <v>0.97319906938028322</v>
      </c>
      <c r="O17" s="15">
        <f>IF(('user page'!$R$36=0),$N17^(I17^0.25),IF(('user page'!$R$36=1),$N17^(I17^0.5),IF(('user page'!$R$36=2),$N17^(I17^0.375),IF(('user page'!$R$36=4),$N17^(I17),IF(('user page'!$R$36=3),$N17^(LN(1+I17)),"")))))</f>
        <v>0.9349874205282056</v>
      </c>
      <c r="P17" s="15">
        <f>IF(('user page'!$R$36=0),$N17^(J17^0.25),IF(('user page'!$R$36=1),$N17^(J17^0.5),IF(('user page'!$R$36=2),$N17^(J17^0.375),IF(('user page'!$R$36=4),$N17^(J17),IF(('user page'!$R$36=3),$N17^(LN(1+J17)),"")))))</f>
        <v>0.93725033385722012</v>
      </c>
      <c r="Q17" s="15">
        <f>IF(('user page'!$R$36=0),$N17^(K17^0.25),IF(('user page'!$R$36=1),$N17^(K17^0.5),IF(('user page'!$R$36=2),$N17^(K17^0.375),IF(('user page'!$R$36=4),$N17^(K17),IF(('user page'!$R$36=3),$N17^(LN(1+K17)),"")))))</f>
        <v>0.94868264683850601</v>
      </c>
      <c r="R17" s="15">
        <f>IF(('user page'!$R$36=0),$N17^(L17^0.25),IF(('user page'!$R$36=1),$N17^(L17^0.5),IF(('user page'!$R$36=2),$N17^(L17^0.375),IF(('user page'!$R$36=4),$N17^(L17),IF(('user page'!$R$36=3),$N17^(LN(1+L17)),"")))))</f>
        <v>0.93535738100804222</v>
      </c>
      <c r="S17" s="15">
        <f>IF(('user page'!$R$36=0),$N17^(M17^0.25),IF(('user page'!$R$36=1),$N17^(M17^0.5),IF(('user page'!$R$36=2),$N17^(M17^0.375),IF(('user page'!$R$36=4),$N17^(M17),IF(('user page'!$R$36=3),$N17^(LN(1+M17)),"")))))</f>
        <v>0.93834594268938176</v>
      </c>
      <c r="T17" s="18">
        <f t="shared" si="10"/>
        <v>1</v>
      </c>
      <c r="U17" s="18">
        <f t="shared" si="10"/>
        <v>1.0024202607215145</v>
      </c>
      <c r="V17" s="18">
        <f t="shared" si="10"/>
        <v>1.0146474979337834</v>
      </c>
      <c r="W17" s="18">
        <f t="shared" si="10"/>
        <v>1.0003956849811173</v>
      </c>
      <c r="X17" s="18">
        <f t="shared" si="10"/>
        <v>1.0035920506387976</v>
      </c>
      <c r="Y17" s="30">
        <f t="shared" si="6"/>
        <v>-7.3555584572493338E-4</v>
      </c>
      <c r="Z17" s="269">
        <f t="shared" si="11"/>
        <v>1.0007355558457249</v>
      </c>
      <c r="AA17" s="17">
        <f>Z17*GBDNZ!$E17/($T17+$W17+$X17+U17+V17)</f>
        <v>24.585383634631448</v>
      </c>
      <c r="AB17" s="16">
        <f t="shared" si="12"/>
        <v>24.644886672965711</v>
      </c>
      <c r="AC17" s="16">
        <f t="shared" si="12"/>
        <v>24.945497990620986</v>
      </c>
      <c r="AD17" s="16">
        <f t="shared" si="12"/>
        <v>24.59511170169068</v>
      </c>
      <c r="AE17" s="16">
        <f t="shared" si="12"/>
        <v>24.673695577621309</v>
      </c>
      <c r="AF17" s="17">
        <f>Z17*GBDNZ!$F17/($T17+$W17+$X17+U17+V17)</f>
        <v>377.30493593003735</v>
      </c>
      <c r="AG17" s="16">
        <f t="shared" si="13"/>
        <v>378.21811224650236</v>
      </c>
      <c r="AH17" s="16">
        <f t="shared" si="13"/>
        <v>382.83150919947883</v>
      </c>
      <c r="AI17" s="16">
        <f t="shared" si="13"/>
        <v>377.45422982648631</v>
      </c>
      <c r="AJ17" s="16">
        <f t="shared" si="13"/>
        <v>378.66023436616632</v>
      </c>
      <c r="AK17" s="17">
        <f>Z17*GBDNZ!$G17/($T17+$W17+$X17+U17+V17)</f>
        <v>55.166240279651213</v>
      </c>
      <c r="AL17" s="16">
        <f t="shared" si="14"/>
        <v>55.29975696415368</v>
      </c>
      <c r="AM17" s="16">
        <f t="shared" si="14"/>
        <v>55.974287670161999</v>
      </c>
      <c r="AN17" s="16">
        <f t="shared" si="14"/>
        <v>55.188068732394576</v>
      </c>
      <c r="AO17" s="16">
        <f t="shared" si="14"/>
        <v>55.364400208287798</v>
      </c>
      <c r="AP17" s="17">
        <f t="shared" si="7"/>
        <v>9.0733639530146348E-2</v>
      </c>
      <c r="AQ17" s="17">
        <f t="shared" si="8"/>
        <v>1.3924635286716125</v>
      </c>
      <c r="AR17" s="17">
        <f t="shared" si="9"/>
        <v>0.20359388464925132</v>
      </c>
      <c r="AS17" s="17">
        <f t="shared" si="15"/>
        <v>1.5960574133208638</v>
      </c>
      <c r="AT17" s="23"/>
      <c r="AU17" s="23"/>
      <c r="AV17" s="23"/>
      <c r="AW17" s="23"/>
    </row>
    <row r="18" spans="1:49" s="13" customFormat="1" ht="13" x14ac:dyDescent="0.3">
      <c r="A18" s="20">
        <v>1</v>
      </c>
      <c r="B18" s="20">
        <v>2</v>
      </c>
      <c r="C18" s="20" t="s">
        <v>34</v>
      </c>
      <c r="D18" s="17">
        <f>Scenario!AN34</f>
        <v>0.16944759244251412</v>
      </c>
      <c r="E18" s="17">
        <f>Scenario!AO34</f>
        <v>0.40407383411883097</v>
      </c>
      <c r="F18" s="17">
        <f>Scenario!AP34</f>
        <v>0.73767380106076064</v>
      </c>
      <c r="G18" s="17">
        <f>Scenario!AQ34</f>
        <v>1.346691101536166</v>
      </c>
      <c r="H18" s="17">
        <f>Scenario!AR34</f>
        <v>3.211391964486249</v>
      </c>
      <c r="I18" s="17">
        <f>IF((D18+'Non travel METs'!C18)&gt;2.5,(D18+'Non travel METs'!C18),0.1)</f>
        <v>6.6694475924425145</v>
      </c>
      <c r="J18" s="17">
        <f>IF((E18+'Non travel METs'!D18)&gt;2.5,(E18+'Non travel METs'!D18),0.1)</f>
        <v>3.5290738341188308</v>
      </c>
      <c r="K18" s="17">
        <f>IF((F18+'Non travel METs'!E18)&gt;2.5,(F18+'Non travel METs'!E18),0.1)</f>
        <v>0.1</v>
      </c>
      <c r="L18" s="17">
        <f>IF((G18+'Non travel METs'!F18)&gt;2.5,(G18+'Non travel METs'!F18),0.1)</f>
        <v>0.1</v>
      </c>
      <c r="M18" s="17">
        <f>IF((H18+'Non travel METs'!G18)&gt;2.5,(H18+'Non travel METs'!G18),0.1)</f>
        <v>3.211391964486249</v>
      </c>
      <c r="N18" s="19">
        <f>'Phy activity RRs'!$C$4</f>
        <v>0.97319906938028322</v>
      </c>
      <c r="O18" s="15">
        <f>IF(('user page'!$R$36=0),$N18^(I18^0.25),IF(('user page'!$R$36=1),$N18^(I18^0.5),IF(('user page'!$R$36=2),$N18^(I18^0.375),IF(('user page'!$R$36=4),$N18^(I18),IF(('user page'!$R$36=3),$N18^(LN(1+I18)),"")))))</f>
        <v>0.93224599990418511</v>
      </c>
      <c r="P18" s="15">
        <f>IF(('user page'!$R$36=0),$N18^(J18^0.25),IF(('user page'!$R$36=1),$N18^(J18^0.5),IF(('user page'!$R$36=2),$N18^(J18^0.375),IF(('user page'!$R$36=4),$N18^(J18),IF(('user page'!$R$36=3),$N18^(LN(1+J18)),"")))))</f>
        <v>0.95024564247903665</v>
      </c>
      <c r="Q18" s="15">
        <f>IF(('user page'!$R$36=0),$N18^(K18^0.25),IF(('user page'!$R$36=1),$N18^(K18^0.5),IF(('user page'!$R$36=2),$N18^(K18^0.375),IF(('user page'!$R$36=4),$N18^(K18),IF(('user page'!$R$36=3),$N18^(LN(1+K18)),"")))))</f>
        <v>0.99144595491037002</v>
      </c>
      <c r="R18" s="15">
        <f>IF(('user page'!$R$36=0),$N18^(L18^0.25),IF(('user page'!$R$36=1),$N18^(L18^0.5),IF(('user page'!$R$36=2),$N18^(L18^0.375),IF(('user page'!$R$36=4),$N18^(L18),IF(('user page'!$R$36=3),$N18^(LN(1+L18)),"")))))</f>
        <v>0.99144595491037002</v>
      </c>
      <c r="S18" s="15">
        <f>IF(('user page'!$R$36=0),$N18^(M18^0.25),IF(('user page'!$R$36=1),$N18^(M18^0.5),IF(('user page'!$R$36=2),$N18^(M18^0.375),IF(('user page'!$R$36=4),$N18^(M18),IF(('user page'!$R$36=3),$N18^(LN(1+M18)),"")))))</f>
        <v>0.95248248486852893</v>
      </c>
      <c r="T18" s="18">
        <f t="shared" si="10"/>
        <v>1</v>
      </c>
      <c r="U18" s="18">
        <f t="shared" si="10"/>
        <v>1.0193078249482448</v>
      </c>
      <c r="V18" s="18">
        <f t="shared" si="10"/>
        <v>1.063502503644177</v>
      </c>
      <c r="W18" s="18">
        <f t="shared" si="10"/>
        <v>1.063502503644177</v>
      </c>
      <c r="X18" s="18">
        <f t="shared" si="10"/>
        <v>1.0217072371095437</v>
      </c>
      <c r="Y18" s="30">
        <f t="shared" si="6"/>
        <v>-3.8955244988247983E-4</v>
      </c>
      <c r="Z18" s="269">
        <f t="shared" si="11"/>
        <v>1.0003895524498825</v>
      </c>
      <c r="AA18" s="17">
        <f>Z18*GBDNZ!$E18/($T18+$W18+$X18+U18+V18)</f>
        <v>32.944322928301688</v>
      </c>
      <c r="AB18" s="16">
        <f t="shared" si="12"/>
        <v>33.580406148439785</v>
      </c>
      <c r="AC18" s="16">
        <f t="shared" si="12"/>
        <v>35.036369915111109</v>
      </c>
      <c r="AD18" s="16">
        <f t="shared" si="12"/>
        <v>35.036369915111109</v>
      </c>
      <c r="AE18" s="16">
        <f t="shared" si="12"/>
        <v>33.659453157519707</v>
      </c>
      <c r="AF18" s="17">
        <f>Z18*GBDNZ!$F18/($T18+$W18+$X18+U18+V18)</f>
        <v>188.12726014247212</v>
      </c>
      <c r="AG18" s="16">
        <f t="shared" si="13"/>
        <v>191.75958834929588</v>
      </c>
      <c r="AH18" s="16">
        <f t="shared" si="13"/>
        <v>200.07381216523848</v>
      </c>
      <c r="AI18" s="16">
        <f t="shared" si="13"/>
        <v>200.07381216523848</v>
      </c>
      <c r="AJ18" s="16">
        <f t="shared" si="13"/>
        <v>192.21098318515357</v>
      </c>
      <c r="AK18" s="17">
        <f>Z18*GBDNZ!$G18/($T18+$W18+$X18+U18+V18)</f>
        <v>52.802040974859729</v>
      </c>
      <c r="AL18" s="16">
        <f t="shared" si="14"/>
        <v>53.821533538912369</v>
      </c>
      <c r="AM18" s="16">
        <f t="shared" si="14"/>
        <v>56.155102774285744</v>
      </c>
      <c r="AN18" s="16">
        <f t="shared" si="14"/>
        <v>56.155102774285744</v>
      </c>
      <c r="AO18" s="16">
        <f t="shared" si="14"/>
        <v>53.948227398168854</v>
      </c>
      <c r="AP18" s="17">
        <f t="shared" si="7"/>
        <v>6.6298174483371497E-2</v>
      </c>
      <c r="AQ18" s="17">
        <f t="shared" si="8"/>
        <v>0.37859311739848067</v>
      </c>
      <c r="AR18" s="17">
        <f t="shared" si="9"/>
        <v>0.10626046051242355</v>
      </c>
      <c r="AS18" s="17">
        <f t="shared" si="15"/>
        <v>0.48485357791090422</v>
      </c>
      <c r="AT18" s="23"/>
      <c r="AU18" s="23"/>
      <c r="AV18" s="23"/>
      <c r="AW18" s="23"/>
    </row>
    <row r="19" spans="1:49" s="13" customFormat="1" ht="13" x14ac:dyDescent="0.3">
      <c r="A19" s="20"/>
      <c r="B19" s="20"/>
      <c r="C19" s="20"/>
      <c r="D19" s="17"/>
      <c r="E19" s="17"/>
      <c r="F19" s="17"/>
      <c r="G19" s="17"/>
      <c r="H19" s="17"/>
      <c r="I19" s="17"/>
      <c r="J19" s="17"/>
      <c r="K19" s="17"/>
      <c r="L19" s="17"/>
      <c r="M19" s="17"/>
      <c r="N19" s="15"/>
      <c r="O19" s="15"/>
      <c r="P19" s="15"/>
      <c r="Q19" s="15"/>
      <c r="R19" s="15"/>
      <c r="S19" s="15"/>
      <c r="T19" s="18"/>
      <c r="U19" s="18"/>
      <c r="V19" s="18"/>
      <c r="W19" s="18"/>
      <c r="X19" s="18"/>
      <c r="Y19" s="18"/>
      <c r="Z19" s="16"/>
      <c r="AA19" s="17"/>
      <c r="AB19" s="16"/>
      <c r="AC19" s="16"/>
      <c r="AD19" s="16"/>
      <c r="AE19" s="16"/>
      <c r="AF19" s="17"/>
      <c r="AG19" s="16"/>
      <c r="AH19" s="16"/>
      <c r="AI19" s="16"/>
      <c r="AJ19" s="16"/>
      <c r="AK19" s="17"/>
      <c r="AL19" s="16"/>
      <c r="AM19" s="16"/>
      <c r="AN19" s="16"/>
      <c r="AO19" s="16"/>
      <c r="AP19" s="21">
        <f>SUM(AP3:AP18)</f>
        <v>0.3202918526627509</v>
      </c>
      <c r="AQ19" s="21">
        <f>SUM(AQ3:AQ18)</f>
        <v>6.5807611830450874</v>
      </c>
      <c r="AR19" s="21">
        <f>SUM(AR3:AR18)</f>
        <v>0.69577095036405967</v>
      </c>
      <c r="AS19" s="21">
        <f>SUM(AS3:AS18)</f>
        <v>7.2765321334091473</v>
      </c>
      <c r="AT19" s="23"/>
      <c r="AU19" s="23"/>
      <c r="AV19" s="23"/>
      <c r="AW19" s="23"/>
    </row>
    <row r="20" spans="1:49" s="13" customFormat="1" ht="13" x14ac:dyDescent="0.3">
      <c r="A20" s="20">
        <v>0</v>
      </c>
      <c r="B20" s="20">
        <v>1</v>
      </c>
      <c r="C20" s="20" t="s">
        <v>2</v>
      </c>
      <c r="D20" s="17"/>
      <c r="E20" s="17"/>
      <c r="F20" s="17"/>
      <c r="G20" s="17"/>
      <c r="H20" s="17"/>
      <c r="I20" s="17"/>
      <c r="J20" s="17"/>
      <c r="K20" s="17"/>
      <c r="L20" s="17"/>
      <c r="M20" s="17"/>
      <c r="N20" s="15"/>
      <c r="O20" s="15"/>
      <c r="P20" s="15"/>
      <c r="Q20" s="15"/>
      <c r="R20" s="15"/>
      <c r="S20" s="15"/>
      <c r="T20" s="18"/>
      <c r="U20" s="18"/>
      <c r="V20" s="18"/>
      <c r="W20" s="18"/>
      <c r="X20" s="18"/>
      <c r="Y20" s="18"/>
      <c r="Z20" s="16"/>
      <c r="AA20" s="17"/>
      <c r="AB20" s="16"/>
      <c r="AC20" s="16"/>
      <c r="AD20" s="16"/>
      <c r="AE20" s="16"/>
      <c r="AF20" s="17"/>
      <c r="AG20" s="16"/>
      <c r="AH20" s="16"/>
      <c r="AI20" s="16"/>
      <c r="AJ20" s="16"/>
      <c r="AK20" s="17"/>
      <c r="AL20" s="16"/>
      <c r="AM20" s="16"/>
      <c r="AN20" s="16"/>
      <c r="AO20" s="16"/>
      <c r="AP20" s="32">
        <f>AP19/GBDNZ!E19</f>
        <v>4.464200208532377E-4</v>
      </c>
      <c r="AQ20" s="32">
        <f>AQ19/GBDNZ!F19</f>
        <v>4.0129939575309716E-4</v>
      </c>
      <c r="AR20" s="32">
        <f>AR19/GBDNZ!G19</f>
        <v>4.516023508914987E-4</v>
      </c>
      <c r="AS20" s="32">
        <f>AS19/GBDNZ!H19</f>
        <v>4.0561953764448706E-4</v>
      </c>
      <c r="AT20" s="23"/>
      <c r="AU20" s="23"/>
      <c r="AV20" s="23"/>
      <c r="AW20" s="23"/>
    </row>
    <row r="21" spans="1:49" s="13" customFormat="1" ht="13" x14ac:dyDescent="0.3">
      <c r="A21" s="20">
        <v>0</v>
      </c>
      <c r="B21" s="20">
        <v>1</v>
      </c>
      <c r="C21" s="20" t="s">
        <v>40</v>
      </c>
      <c r="D21" s="17"/>
      <c r="E21" s="17"/>
      <c r="F21" s="17"/>
      <c r="G21" s="17"/>
      <c r="H21" s="17"/>
      <c r="I21" s="17"/>
      <c r="J21" s="17"/>
      <c r="K21" s="17"/>
      <c r="L21" s="17"/>
      <c r="M21" s="17"/>
      <c r="N21" s="15"/>
      <c r="O21" s="15"/>
      <c r="P21" s="15"/>
      <c r="Q21" s="15"/>
      <c r="R21" s="15"/>
      <c r="S21" s="15"/>
      <c r="T21" s="18"/>
      <c r="U21" s="18"/>
      <c r="V21" s="18"/>
      <c r="W21" s="18"/>
      <c r="X21" s="18"/>
      <c r="Y21" s="18"/>
      <c r="Z21" s="16"/>
      <c r="AA21" s="17"/>
      <c r="AB21" s="16"/>
      <c r="AC21" s="16"/>
      <c r="AD21" s="16"/>
      <c r="AE21" s="16"/>
      <c r="AF21" s="17"/>
      <c r="AG21" s="16"/>
      <c r="AH21" s="16"/>
      <c r="AI21" s="16"/>
      <c r="AJ21" s="16"/>
      <c r="AK21" s="17"/>
      <c r="AL21" s="16"/>
      <c r="AM21" s="16"/>
      <c r="AN21" s="16"/>
      <c r="AO21" s="16"/>
      <c r="AP21" s="15"/>
      <c r="AQ21" s="15"/>
      <c r="AR21" s="15"/>
      <c r="AS21" s="15"/>
      <c r="AT21" s="23"/>
      <c r="AU21" s="23"/>
      <c r="AV21" s="23"/>
      <c r="AW21" s="23"/>
    </row>
    <row r="22" spans="1:49" s="13" customFormat="1" ht="13" x14ac:dyDescent="0.3">
      <c r="A22" s="20">
        <v>0</v>
      </c>
      <c r="B22" s="20">
        <v>1</v>
      </c>
      <c r="C22" s="20" t="s">
        <v>39</v>
      </c>
      <c r="D22" s="17">
        <f>Baseline!AN21</f>
        <v>0.39368586167290764</v>
      </c>
      <c r="E22" s="17">
        <f>Baseline!AO21</f>
        <v>0.93738511466315355</v>
      </c>
      <c r="F22" s="17">
        <f>Baseline!AP21</f>
        <v>1.7094900770477317</v>
      </c>
      <c r="G22" s="17">
        <f>Baseline!AQ21</f>
        <v>3.117562118078649</v>
      </c>
      <c r="H22" s="17">
        <f>Baseline!AR21</f>
        <v>7.4230664802300845</v>
      </c>
      <c r="I22" s="17">
        <f>IF((D22+'Non travel METs'!C22)&gt;2.5,(D22+'Non travel METs'!C22),0.1)</f>
        <v>58.193685861672904</v>
      </c>
      <c r="J22" s="17">
        <f>IF((E22+'Non travel METs'!D22)&gt;2.5,(E22+'Non travel METs'!D22),0.1)</f>
        <v>41.937385114663151</v>
      </c>
      <c r="K22" s="17">
        <f>IF((F22+'Non travel METs'!E22)&gt;2.5,(F22+'Non travel METs'!E22),0.1)</f>
        <v>47.209490077047732</v>
      </c>
      <c r="L22" s="17">
        <f>IF((G22+'Non travel METs'!F22)&gt;2.5,(G22+'Non travel METs'!F22),0.1)</f>
        <v>41.042562118078649</v>
      </c>
      <c r="M22" s="17">
        <f>IF((H22+'Non travel METs'!G22)&gt;2.5,(H22+'Non travel METs'!G22),0.1)</f>
        <v>48.423066480230084</v>
      </c>
      <c r="N22" s="19">
        <f t="shared" ref="N22:N27" si="16">N5</f>
        <v>1</v>
      </c>
      <c r="O22" s="15">
        <f>IF(('user page'!$R$36=0),$N22^(I22^0.25),IF(('user page'!$R$36=1),$N22^(I22^0.5),IF(('user page'!$R$36=2),$N22^(I22^0.375),IF(('user page'!$R$36=4),$N22^(I22),IF(('user page'!$R$36=3),$N22^(LN(1+I22)),"")))))</f>
        <v>1</v>
      </c>
      <c r="P22" s="15">
        <f>IF(('user page'!$R$36=0),$N22^(J22^0.25),IF(('user page'!$R$36=1),$N22^(J22^0.5),IF(('user page'!$R$36=2),$N22^(J22^0.375),IF(('user page'!$R$36=4),$N22^(J22),IF(('user page'!$R$36=3),$N22^(LN(1+J22)),"")))))</f>
        <v>1</v>
      </c>
      <c r="Q22" s="15">
        <f>IF(('user page'!$R$36=0),$N22^(K22^0.25),IF(('user page'!$R$36=1),$N22^(K22^0.5),IF(('user page'!$R$36=2),$N22^(K22^0.375),IF(('user page'!$R$36=4),$N22^(K22),IF(('user page'!$R$36=3),$N22^(LN(1+K22)),"")))))</f>
        <v>1</v>
      </c>
      <c r="R22" s="15">
        <f>IF(('user page'!$R$36=0),$N22^(L22^0.25),IF(('user page'!$R$36=1),$N22^(L22^0.5),IF(('user page'!$R$36=2),$N22^(L22^0.375),IF(('user page'!$R$36=4),$N22^(L22),IF(('user page'!$R$36=3),$N22^(LN(1+L22)),"")))))</f>
        <v>1</v>
      </c>
      <c r="S22" s="15">
        <f>IF(('user page'!$R$36=0),$N22^(M22^0.25),IF(('user page'!$R$36=1),$N22^(M22^0.5),IF(('user page'!$R$36=2),$N22^(M22^0.375),IF(('user page'!$R$36=4),$N22^(M22),IF(('user page'!$R$36=3),$N22^(LN(1+M22)),"")))))</f>
        <v>1</v>
      </c>
      <c r="T22" s="18">
        <f t="shared" ref="T22:X27" si="17">O22/$O22</f>
        <v>1</v>
      </c>
      <c r="U22" s="18">
        <f t="shared" si="17"/>
        <v>1</v>
      </c>
      <c r="V22" s="18">
        <f t="shared" si="17"/>
        <v>1</v>
      </c>
      <c r="W22" s="18">
        <f t="shared" si="17"/>
        <v>1</v>
      </c>
      <c r="X22" s="18">
        <f t="shared" si="17"/>
        <v>1</v>
      </c>
      <c r="Y22" s="18"/>
      <c r="Z22" s="16"/>
      <c r="AA22" s="17">
        <f>GBDNZ!E5/($T22+$W22+$X22+U22+V22)</f>
        <v>9.3904184799999992E-3</v>
      </c>
      <c r="AB22" s="16">
        <f t="shared" ref="AB22:AE27" si="18">$AA22*U22</f>
        <v>9.3904184799999992E-3</v>
      </c>
      <c r="AC22" s="16">
        <f t="shared" si="18"/>
        <v>9.3904184799999992E-3</v>
      </c>
      <c r="AD22" s="16">
        <f t="shared" si="18"/>
        <v>9.3904184799999992E-3</v>
      </c>
      <c r="AE22" s="16">
        <f t="shared" si="18"/>
        <v>9.3904184799999992E-3</v>
      </c>
      <c r="AF22" s="17">
        <f>GBDNZ!F5/($T22+$W22+$X22+U22+V22)</f>
        <v>0.60684335457999994</v>
      </c>
      <c r="AG22" s="16">
        <f t="shared" ref="AG22:AG35" si="19">$AF22*U22</f>
        <v>0.60684335457999994</v>
      </c>
      <c r="AH22" s="16">
        <f t="shared" ref="AH22:AH35" si="20">$AF22*V22</f>
        <v>0.60684335457999994</v>
      </c>
      <c r="AI22" s="16">
        <f t="shared" ref="AI22:AI35" si="21">$AF22*W22</f>
        <v>0.60684335457999994</v>
      </c>
      <c r="AJ22" s="16">
        <f t="shared" ref="AJ22:AJ35" si="22">$AF22*X22</f>
        <v>0.60684335457999994</v>
      </c>
      <c r="AK22" s="17">
        <f>GBDNZ!G5/($T22+$W22+$X22+U22+V22)</f>
        <v>3.0945053759999997E-2</v>
      </c>
      <c r="AL22" s="16">
        <f t="shared" ref="AL22:AO27" si="23">U22*$AK22</f>
        <v>3.0945053759999997E-2</v>
      </c>
      <c r="AM22" s="16">
        <f t="shared" si="23"/>
        <v>3.0945053759999997E-2</v>
      </c>
      <c r="AN22" s="16">
        <f t="shared" si="23"/>
        <v>3.0945053759999997E-2</v>
      </c>
      <c r="AO22" s="16">
        <f t="shared" si="23"/>
        <v>3.0945053759999997E-2</v>
      </c>
      <c r="AP22" s="15"/>
      <c r="AQ22" s="15"/>
      <c r="AR22" s="15"/>
      <c r="AS22" s="15"/>
      <c r="AT22" s="23"/>
      <c r="AU22" s="23"/>
      <c r="AV22" s="23"/>
      <c r="AW22" s="23"/>
    </row>
    <row r="23" spans="1:49" s="13" customFormat="1" ht="13" x14ac:dyDescent="0.3">
      <c r="A23" s="20">
        <v>0</v>
      </c>
      <c r="B23" s="20">
        <v>1</v>
      </c>
      <c r="C23" s="20" t="s">
        <v>38</v>
      </c>
      <c r="D23" s="17">
        <f>Baseline!AN22</f>
        <v>0.25162211131265011</v>
      </c>
      <c r="E23" s="17">
        <f>Baseline!AO22</f>
        <v>0.59912444064491777</v>
      </c>
      <c r="F23" s="17">
        <f>Baseline!AP22</f>
        <v>1.092610998594</v>
      </c>
      <c r="G23" s="17">
        <f>Baseline!AQ22</f>
        <v>1.9925723493495484</v>
      </c>
      <c r="H23" s="17">
        <f>Baseline!AR22</f>
        <v>4.7444113238730328</v>
      </c>
      <c r="I23" s="17">
        <f>IF((D23+'Non travel METs'!C23)&gt;2.5,(D23+'Non travel METs'!C23),0.1)</f>
        <v>51.501622111312649</v>
      </c>
      <c r="J23" s="17">
        <f>IF((E23+'Non travel METs'!D23)&gt;2.5,(E23+'Non travel METs'!D23),0.1)</f>
        <v>51.849124440644921</v>
      </c>
      <c r="K23" s="17">
        <f>IF((F23+'Non travel METs'!E23)&gt;2.5,(F23+'Non travel METs'!E23),0.1)</f>
        <v>65.842610998593997</v>
      </c>
      <c r="L23" s="17">
        <f>IF((G23+'Non travel METs'!F23)&gt;2.5,(G23+'Non travel METs'!F23),0.1)</f>
        <v>48.117572349349551</v>
      </c>
      <c r="M23" s="17">
        <f>IF((H23+'Non travel METs'!G23)&gt;2.5,(H23+'Non travel METs'!G23),0.1)</f>
        <v>49.544411323873028</v>
      </c>
      <c r="N23" s="19">
        <f t="shared" si="16"/>
        <v>1</v>
      </c>
      <c r="O23" s="15">
        <f>IF(('user page'!$R$36=0),$N23^(I23^0.25),IF(('user page'!$R$36=1),$N23^(I23^0.5),IF(('user page'!$R$36=2),$N23^(I23^0.375),IF(('user page'!$R$36=4),$N23^(I23),IF(('user page'!$R$36=3),$N23^(LN(1+I23)),"")))))</f>
        <v>1</v>
      </c>
      <c r="P23" s="15">
        <f>IF(('user page'!$R$36=0),$N23^(J23^0.25),IF(('user page'!$R$36=1),$N23^(J23^0.5),IF(('user page'!$R$36=2),$N23^(J23^0.375),IF(('user page'!$R$36=4),$N23^(J23),IF(('user page'!$R$36=3),$N23^(LN(1+J23)),"")))))</f>
        <v>1</v>
      </c>
      <c r="Q23" s="15">
        <f>IF(('user page'!$R$36=0),$N23^(K23^0.25),IF(('user page'!$R$36=1),$N23^(K23^0.5),IF(('user page'!$R$36=2),$N23^(K23^0.375),IF(('user page'!$R$36=4),$N23^(K23),IF(('user page'!$R$36=3),$N23^(LN(1+K23)),"")))))</f>
        <v>1</v>
      </c>
      <c r="R23" s="15">
        <f>IF(('user page'!$R$36=0),$N23^(L23^0.25),IF(('user page'!$R$36=1),$N23^(L23^0.5),IF(('user page'!$R$36=2),$N23^(L23^0.375),IF(('user page'!$R$36=4),$N23^(L23),IF(('user page'!$R$36=3),$N23^(LN(1+L23)),"")))))</f>
        <v>1</v>
      </c>
      <c r="S23" s="15">
        <f>IF(('user page'!$R$36=0),$N23^(M23^0.25),IF(('user page'!$R$36=1),$N23^(M23^0.5),IF(('user page'!$R$36=2),$N23^(M23^0.375),IF(('user page'!$R$36=4),$N23^(M23),IF(('user page'!$R$36=3),$N23^(LN(1+M23)),"")))))</f>
        <v>1</v>
      </c>
      <c r="T23" s="18">
        <f t="shared" si="17"/>
        <v>1</v>
      </c>
      <c r="U23" s="18">
        <f t="shared" si="17"/>
        <v>1</v>
      </c>
      <c r="V23" s="18">
        <f t="shared" si="17"/>
        <v>1</v>
      </c>
      <c r="W23" s="18">
        <f t="shared" si="17"/>
        <v>1</v>
      </c>
      <c r="X23" s="18">
        <f t="shared" si="17"/>
        <v>1</v>
      </c>
      <c r="Y23" s="18"/>
      <c r="Z23" s="16"/>
      <c r="AA23" s="17">
        <f>GBDNZ!E6/($T23+$W23+$X23+U23+V23)</f>
        <v>1.5914494800000002E-2</v>
      </c>
      <c r="AB23" s="16">
        <f t="shared" si="18"/>
        <v>1.5914494800000002E-2</v>
      </c>
      <c r="AC23" s="16">
        <f t="shared" si="18"/>
        <v>1.5914494800000002E-2</v>
      </c>
      <c r="AD23" s="16">
        <f t="shared" si="18"/>
        <v>1.5914494800000002E-2</v>
      </c>
      <c r="AE23" s="16">
        <f t="shared" si="18"/>
        <v>1.5914494800000002E-2</v>
      </c>
      <c r="AF23" s="17">
        <f>GBDNZ!F6/($T23+$W23+$X23+U23+V23)</f>
        <v>0.76762005852000004</v>
      </c>
      <c r="AG23" s="16">
        <f t="shared" si="19"/>
        <v>0.76762005852000004</v>
      </c>
      <c r="AH23" s="16">
        <f t="shared" si="20"/>
        <v>0.76762005852000004</v>
      </c>
      <c r="AI23" s="16">
        <f t="shared" si="21"/>
        <v>0.76762005852000004</v>
      </c>
      <c r="AJ23" s="16">
        <f t="shared" si="22"/>
        <v>0.76762005852000004</v>
      </c>
      <c r="AK23" s="17">
        <f>GBDNZ!G6/($T23+$W23+$X23+U23+V23)</f>
        <v>5.1420955779999999E-2</v>
      </c>
      <c r="AL23" s="16">
        <f t="shared" si="23"/>
        <v>5.1420955779999999E-2</v>
      </c>
      <c r="AM23" s="16">
        <f t="shared" si="23"/>
        <v>5.1420955779999999E-2</v>
      </c>
      <c r="AN23" s="16">
        <f t="shared" si="23"/>
        <v>5.1420955779999999E-2</v>
      </c>
      <c r="AO23" s="16">
        <f t="shared" si="23"/>
        <v>5.1420955779999999E-2</v>
      </c>
      <c r="AP23" s="15"/>
      <c r="AQ23" s="15"/>
      <c r="AR23" s="15"/>
      <c r="AS23" s="15"/>
      <c r="AT23" s="23"/>
      <c r="AU23" s="23"/>
      <c r="AV23" s="23"/>
      <c r="AW23" s="23"/>
    </row>
    <row r="24" spans="1:49" s="13" customFormat="1" ht="13" x14ac:dyDescent="0.3">
      <c r="A24" s="20">
        <v>0</v>
      </c>
      <c r="B24" s="20">
        <v>1</v>
      </c>
      <c r="C24" s="20" t="s">
        <v>37</v>
      </c>
      <c r="D24" s="17">
        <f>Baseline!AN23</f>
        <v>0.44656832716641398</v>
      </c>
      <c r="E24" s="17">
        <f>Baseline!AO23</f>
        <v>1.0633008276878868</v>
      </c>
      <c r="F24" s="17">
        <f>Baseline!AP23</f>
        <v>1.9391199896557647</v>
      </c>
      <c r="G24" s="17">
        <f>Baseline!AQ23</f>
        <v>3.5363334969455225</v>
      </c>
      <c r="H24" s="17">
        <f>Baseline!AR23</f>
        <v>8.4201814269764306</v>
      </c>
      <c r="I24" s="17">
        <f>IF((D24+'Non travel METs'!C24)&gt;2.5,(D24+'Non travel METs'!C24),0.1)</f>
        <v>58.721568327166409</v>
      </c>
      <c r="J24" s="17">
        <f>IF((E24+'Non travel METs'!D24)&gt;2.5,(E24+'Non travel METs'!D24),0.1)</f>
        <v>62.56330082768789</v>
      </c>
      <c r="K24" s="17">
        <f>IF((F24+'Non travel METs'!E24)&gt;2.5,(F24+'Non travel METs'!E24),0.1)</f>
        <v>55.664119989655767</v>
      </c>
      <c r="L24" s="17">
        <f>IF((G24+'Non travel METs'!F24)&gt;2.5,(G24+'Non travel METs'!F24),0.1)</f>
        <v>55.736333496945527</v>
      </c>
      <c r="M24" s="17">
        <f>IF((H24+'Non travel METs'!G24)&gt;2.5,(H24+'Non travel METs'!G24),0.1)</f>
        <v>55.12018142697643</v>
      </c>
      <c r="N24" s="19">
        <f t="shared" si="16"/>
        <v>1</v>
      </c>
      <c r="O24" s="15">
        <f>IF(('user page'!$R$36=0),$N24^(I24^0.25),IF(('user page'!$R$36=1),$N24^(I24^0.5),IF(('user page'!$R$36=2),$N24^(I24^0.375),IF(('user page'!$R$36=4),$N24^(I24),IF(('user page'!$R$36=3),$N24^(LN(1+I24)),"")))))</f>
        <v>1</v>
      </c>
      <c r="P24" s="15">
        <f>IF(('user page'!$R$36=0),$N24^(J24^0.25),IF(('user page'!$R$36=1),$N24^(J24^0.5),IF(('user page'!$R$36=2),$N24^(J24^0.375),IF(('user page'!$R$36=4),$N24^(J24),IF(('user page'!$R$36=3),$N24^(LN(1+J24)),"")))))</f>
        <v>1</v>
      </c>
      <c r="Q24" s="15">
        <f>IF(('user page'!$R$36=0),$N24^(K24^0.25),IF(('user page'!$R$36=1),$N24^(K24^0.5),IF(('user page'!$R$36=2),$N24^(K24^0.375),IF(('user page'!$R$36=4),$N24^(K24),IF(('user page'!$R$36=3),$N24^(LN(1+K24)),"")))))</f>
        <v>1</v>
      </c>
      <c r="R24" s="15">
        <f>IF(('user page'!$R$36=0),$N24^(L24^0.25),IF(('user page'!$R$36=1),$N24^(L24^0.5),IF(('user page'!$R$36=2),$N24^(L24^0.375),IF(('user page'!$R$36=4),$N24^(L24),IF(('user page'!$R$36=3),$N24^(LN(1+L24)),"")))))</f>
        <v>1</v>
      </c>
      <c r="S24" s="15">
        <f>IF(('user page'!$R$36=0),$N24^(M24^0.25),IF(('user page'!$R$36=1),$N24^(M24^0.5),IF(('user page'!$R$36=2),$N24^(M24^0.375),IF(('user page'!$R$36=4),$N24^(M24),IF(('user page'!$R$36=3),$N24^(LN(1+M24)),"")))))</f>
        <v>1</v>
      </c>
      <c r="T24" s="18">
        <f t="shared" si="17"/>
        <v>1</v>
      </c>
      <c r="U24" s="18">
        <f t="shared" si="17"/>
        <v>1</v>
      </c>
      <c r="V24" s="18">
        <f t="shared" si="17"/>
        <v>1</v>
      </c>
      <c r="W24" s="18">
        <f t="shared" si="17"/>
        <v>1</v>
      </c>
      <c r="X24" s="18">
        <f t="shared" si="17"/>
        <v>1</v>
      </c>
      <c r="Y24" s="18"/>
      <c r="Z24" s="16"/>
      <c r="AA24" s="17">
        <f>GBDNZ!E7/($T24+$W24+$X24+U24+V24)</f>
        <v>0.12687722109999999</v>
      </c>
      <c r="AB24" s="16">
        <f t="shared" si="18"/>
        <v>0.12687722109999999</v>
      </c>
      <c r="AC24" s="16">
        <f t="shared" si="18"/>
        <v>0.12687722109999999</v>
      </c>
      <c r="AD24" s="16">
        <f t="shared" si="18"/>
        <v>0.12687722109999999</v>
      </c>
      <c r="AE24" s="16">
        <f t="shared" si="18"/>
        <v>0.12687722109999999</v>
      </c>
      <c r="AF24" s="17">
        <f>GBDNZ!F7/($T24+$W24+$X24+U24+V24)</f>
        <v>4.3137643839800006</v>
      </c>
      <c r="AG24" s="16">
        <f t="shared" si="19"/>
        <v>4.3137643839800006</v>
      </c>
      <c r="AH24" s="16">
        <f t="shared" si="20"/>
        <v>4.3137643839800006</v>
      </c>
      <c r="AI24" s="16">
        <f t="shared" si="21"/>
        <v>4.3137643839800006</v>
      </c>
      <c r="AJ24" s="16">
        <f t="shared" si="22"/>
        <v>4.3137643839800006</v>
      </c>
      <c r="AK24" s="17">
        <f>GBDNZ!G7/($T24+$W24+$X24+U24+V24)</f>
        <v>0.33842477930000003</v>
      </c>
      <c r="AL24" s="16">
        <f t="shared" si="23"/>
        <v>0.33842477930000003</v>
      </c>
      <c r="AM24" s="16">
        <f t="shared" si="23"/>
        <v>0.33842477930000003</v>
      </c>
      <c r="AN24" s="16">
        <f t="shared" si="23"/>
        <v>0.33842477930000003</v>
      </c>
      <c r="AO24" s="16">
        <f t="shared" si="23"/>
        <v>0.33842477930000003</v>
      </c>
      <c r="AP24" s="15"/>
      <c r="AQ24" s="15"/>
      <c r="AR24" s="15"/>
      <c r="AS24" s="15"/>
      <c r="AT24" s="23"/>
      <c r="AU24" s="23"/>
      <c r="AV24" s="23"/>
      <c r="AW24" s="23"/>
    </row>
    <row r="25" spans="1:49" s="13" customFormat="1" ht="13" x14ac:dyDescent="0.3">
      <c r="A25" s="20">
        <v>0</v>
      </c>
      <c r="B25" s="20">
        <v>1</v>
      </c>
      <c r="C25" s="20" t="s">
        <v>36</v>
      </c>
      <c r="D25" s="17">
        <f>Baseline!AN24</f>
        <v>0.42413880257562148</v>
      </c>
      <c r="E25" s="17">
        <f>Baseline!AO24</f>
        <v>1.009895042702271</v>
      </c>
      <c r="F25" s="17">
        <f>Baseline!AP24</f>
        <v>1.8417249509873066</v>
      </c>
      <c r="G25" s="17">
        <f>Baseline!AQ24</f>
        <v>3.3587161553076208</v>
      </c>
      <c r="H25" s="17">
        <f>Baseline!AR24</f>
        <v>7.99726592919881</v>
      </c>
      <c r="I25" s="17">
        <f>IF((D25+'Non travel METs'!C25)&gt;2.5,(D25+'Non travel METs'!C25),0.1)</f>
        <v>41.424138802575619</v>
      </c>
      <c r="J25" s="17">
        <f>IF((E25+'Non travel METs'!D25)&gt;2.5,(E25+'Non travel METs'!D25),0.1)</f>
        <v>32.259895042702269</v>
      </c>
      <c r="K25" s="17">
        <f>IF((F25+'Non travel METs'!E25)&gt;2.5,(F25+'Non travel METs'!E25),0.1)</f>
        <v>45.925058284320606</v>
      </c>
      <c r="L25" s="17">
        <f>IF((G25+'Non travel METs'!F25)&gt;2.5,(G25+'Non travel METs'!F25),0.1)</f>
        <v>45.858716155307619</v>
      </c>
      <c r="M25" s="17">
        <f>IF((H25+'Non travel METs'!G25)&gt;2.5,(H25+'Non travel METs'!G25),0.1)</f>
        <v>40.797265929198808</v>
      </c>
      <c r="N25" s="19">
        <f t="shared" si="16"/>
        <v>1</v>
      </c>
      <c r="O25" s="15">
        <f>IF(('user page'!$R$36=0),$N25^(I25^0.25),IF(('user page'!$R$36=1),$N25^(I25^0.5),IF(('user page'!$R$36=2),$N25^(I25^0.375),IF(('user page'!$R$36=4),$N25^(I25),IF(('user page'!$R$36=3),$N25^(LN(1+I25)),"")))))</f>
        <v>1</v>
      </c>
      <c r="P25" s="15">
        <f>IF(('user page'!$R$36=0),$N25^(J25^0.25),IF(('user page'!$R$36=1),$N25^(J25^0.5),IF(('user page'!$R$36=2),$N25^(J25^0.375),IF(('user page'!$R$36=4),$N25^(J25),IF(('user page'!$R$36=3),$N25^(LN(1+J25)),"")))))</f>
        <v>1</v>
      </c>
      <c r="Q25" s="15">
        <f>IF(('user page'!$R$36=0),$N25^(K25^0.25),IF(('user page'!$R$36=1),$N25^(K25^0.5),IF(('user page'!$R$36=2),$N25^(K25^0.375),IF(('user page'!$R$36=4),$N25^(K25),IF(('user page'!$R$36=3),$N25^(LN(1+K25)),"")))))</f>
        <v>1</v>
      </c>
      <c r="R25" s="15">
        <f>IF(('user page'!$R$36=0),$N25^(L25^0.25),IF(('user page'!$R$36=1),$N25^(L25^0.5),IF(('user page'!$R$36=2),$N25^(L25^0.375),IF(('user page'!$R$36=4),$N25^(L25),IF(('user page'!$R$36=3),$N25^(LN(1+L25)),"")))))</f>
        <v>1</v>
      </c>
      <c r="S25" s="15">
        <f>IF(('user page'!$R$36=0),$N25^(M25^0.25),IF(('user page'!$R$36=1),$N25^(M25^0.5),IF(('user page'!$R$36=2),$N25^(M25^0.375),IF(('user page'!$R$36=4),$N25^(M25),IF(('user page'!$R$36=3),$N25^(LN(1+M25)),"")))))</f>
        <v>1</v>
      </c>
      <c r="T25" s="18">
        <f t="shared" si="17"/>
        <v>1</v>
      </c>
      <c r="U25" s="18">
        <f t="shared" si="17"/>
        <v>1</v>
      </c>
      <c r="V25" s="18">
        <f t="shared" si="17"/>
        <v>1</v>
      </c>
      <c r="W25" s="18">
        <f t="shared" si="17"/>
        <v>1</v>
      </c>
      <c r="X25" s="18">
        <f t="shared" si="17"/>
        <v>1</v>
      </c>
      <c r="Y25" s="18"/>
      <c r="Z25" s="16"/>
      <c r="AA25" s="17">
        <f>GBDNZ!E8/($T25+$W25+$X25+U25+V25)</f>
        <v>0.17583342494000001</v>
      </c>
      <c r="AB25" s="16">
        <f t="shared" si="18"/>
        <v>0.17583342494000001</v>
      </c>
      <c r="AC25" s="16">
        <f t="shared" si="18"/>
        <v>0.17583342494000001</v>
      </c>
      <c r="AD25" s="16">
        <f t="shared" si="18"/>
        <v>0.17583342494000001</v>
      </c>
      <c r="AE25" s="16">
        <f t="shared" si="18"/>
        <v>0.17583342494000001</v>
      </c>
      <c r="AF25" s="17">
        <f>GBDNZ!F8/($T25+$W25+$X25+U25+V25)</f>
        <v>4.1469296635399999</v>
      </c>
      <c r="AG25" s="16">
        <f t="shared" si="19"/>
        <v>4.1469296635399999</v>
      </c>
      <c r="AH25" s="16">
        <f t="shared" si="20"/>
        <v>4.1469296635399999</v>
      </c>
      <c r="AI25" s="16">
        <f t="shared" si="21"/>
        <v>4.1469296635399999</v>
      </c>
      <c r="AJ25" s="16">
        <f t="shared" si="22"/>
        <v>4.1469296635399999</v>
      </c>
      <c r="AK25" s="17">
        <f>GBDNZ!G8/($T25+$W25+$X25+U25+V25)</f>
        <v>0.43623630044000006</v>
      </c>
      <c r="AL25" s="16">
        <f t="shared" si="23"/>
        <v>0.43623630044000006</v>
      </c>
      <c r="AM25" s="16">
        <f t="shared" si="23"/>
        <v>0.43623630044000006</v>
      </c>
      <c r="AN25" s="16">
        <f t="shared" si="23"/>
        <v>0.43623630044000006</v>
      </c>
      <c r="AO25" s="16">
        <f t="shared" si="23"/>
        <v>0.43623630044000006</v>
      </c>
      <c r="AP25" s="15"/>
      <c r="AQ25" s="15"/>
      <c r="AR25" s="15"/>
      <c r="AS25" s="15"/>
      <c r="AT25" s="23"/>
      <c r="AU25" s="23"/>
      <c r="AV25" s="23"/>
      <c r="AW25" s="23"/>
    </row>
    <row r="26" spans="1:49" s="13" customFormat="1" ht="13" x14ac:dyDescent="0.3">
      <c r="A26" s="20">
        <v>0</v>
      </c>
      <c r="B26" s="20">
        <v>1</v>
      </c>
      <c r="C26" s="20" t="s">
        <v>35</v>
      </c>
      <c r="D26" s="17">
        <f>Baseline!AN25</f>
        <v>0.51496682448345821</v>
      </c>
      <c r="E26" s="17">
        <f>Baseline!AO25</f>
        <v>1.2261609643914881</v>
      </c>
      <c r="F26" s="17">
        <f>Baseline!AP25</f>
        <v>2.2361246927243523</v>
      </c>
      <c r="G26" s="17">
        <f>Baseline!AQ25</f>
        <v>4.0779749042924998</v>
      </c>
      <c r="H26" s="17">
        <f>Baseline!AR25</f>
        <v>9.7098558658164578</v>
      </c>
      <c r="I26" s="17">
        <f>IF((D26+'Non travel METs'!C26)&gt;2.5,(D26+'Non travel METs'!C26),0.1)</f>
        <v>4.8899668244834587</v>
      </c>
      <c r="J26" s="17">
        <f>IF((E26+'Non travel METs'!D26)&gt;2.5,(E26+'Non travel METs'!D26),0.1)</f>
        <v>6.2261609643914877</v>
      </c>
      <c r="K26" s="17">
        <f>IF((F26+'Non travel METs'!E26)&gt;2.5,(F26+'Non travel METs'!E26),0.1)</f>
        <v>10.569458026057683</v>
      </c>
      <c r="L26" s="17">
        <f>IF((G26+'Non travel METs'!F26)&gt;2.5,(G26+'Non travel METs'!F26),0.1)</f>
        <v>7.8279749042924998</v>
      </c>
      <c r="M26" s="17">
        <f>IF((H26+'Non travel METs'!G26)&gt;2.5,(H26+'Non travel METs'!G26),0.1)</f>
        <v>22.834855865816458</v>
      </c>
      <c r="N26" s="19">
        <f t="shared" si="16"/>
        <v>1</v>
      </c>
      <c r="O26" s="15">
        <f>IF(('user page'!$R$36=0),$N26^(I26^0.25),IF(('user page'!$R$36=1),$N26^(I26^0.5),IF(('user page'!$R$36=2),$N26^(I26^0.375),IF(('user page'!$R$36=4),$N26^(I26),IF(('user page'!$R$36=3),$N26^(LN(1+I26)),"")))))</f>
        <v>1</v>
      </c>
      <c r="P26" s="15">
        <f>IF(('user page'!$R$36=0),$N26^(J26^0.25),IF(('user page'!$R$36=1),$N26^(J26^0.5),IF(('user page'!$R$36=2),$N26^(J26^0.375),IF(('user page'!$R$36=4),$N26^(J26),IF(('user page'!$R$36=3),$N26^(LN(1+J26)),"")))))</f>
        <v>1</v>
      </c>
      <c r="Q26" s="15">
        <f>IF(('user page'!$R$36=0),$N26^(K26^0.25),IF(('user page'!$R$36=1),$N26^(K26^0.5),IF(('user page'!$R$36=2),$N26^(K26^0.375),IF(('user page'!$R$36=4),$N26^(K26),IF(('user page'!$R$36=3),$N26^(LN(1+K26)),"")))))</f>
        <v>1</v>
      </c>
      <c r="R26" s="15">
        <f>IF(('user page'!$R$36=0),$N26^(L26^0.25),IF(('user page'!$R$36=1),$N26^(L26^0.5),IF(('user page'!$R$36=2),$N26^(L26^0.375),IF(('user page'!$R$36=4),$N26^(L26),IF(('user page'!$R$36=3),$N26^(LN(1+L26)),"")))))</f>
        <v>1</v>
      </c>
      <c r="S26" s="15">
        <f>IF(('user page'!$R$36=0),$N26^(M26^0.25),IF(('user page'!$R$36=1),$N26^(M26^0.5),IF(('user page'!$R$36=2),$N26^(M26^0.375),IF(('user page'!$R$36=4),$N26^(M26),IF(('user page'!$R$36=3),$N26^(LN(1+M26)),"")))))</f>
        <v>1</v>
      </c>
      <c r="T26" s="18">
        <f t="shared" si="17"/>
        <v>1</v>
      </c>
      <c r="U26" s="18">
        <f t="shared" si="17"/>
        <v>1</v>
      </c>
      <c r="V26" s="18">
        <f t="shared" si="17"/>
        <v>1</v>
      </c>
      <c r="W26" s="18">
        <f t="shared" si="17"/>
        <v>1</v>
      </c>
      <c r="X26" s="18">
        <f t="shared" si="17"/>
        <v>1</v>
      </c>
      <c r="Y26" s="18"/>
      <c r="Z26" s="16"/>
      <c r="AA26" s="17">
        <f>GBDNZ!E9/($T26+$W26+$X26+U26+V26)</f>
        <v>0.20986448978</v>
      </c>
      <c r="AB26" s="16">
        <f t="shared" si="18"/>
        <v>0.20986448978</v>
      </c>
      <c r="AC26" s="16">
        <f t="shared" si="18"/>
        <v>0.20986448978</v>
      </c>
      <c r="AD26" s="16">
        <f t="shared" si="18"/>
        <v>0.20986448978</v>
      </c>
      <c r="AE26" s="16">
        <f t="shared" si="18"/>
        <v>0.20986448978</v>
      </c>
      <c r="AF26" s="17">
        <f>GBDNZ!F9/($T26+$W26+$X26+U26+V26)</f>
        <v>3.15326476086</v>
      </c>
      <c r="AG26" s="16">
        <f t="shared" si="19"/>
        <v>3.15326476086</v>
      </c>
      <c r="AH26" s="16">
        <f t="shared" si="20"/>
        <v>3.15326476086</v>
      </c>
      <c r="AI26" s="16">
        <f t="shared" si="21"/>
        <v>3.15326476086</v>
      </c>
      <c r="AJ26" s="16">
        <f t="shared" si="22"/>
        <v>3.15326476086</v>
      </c>
      <c r="AK26" s="17">
        <f>GBDNZ!G9/($T26+$W26+$X26+U26+V26)</f>
        <v>0.42739350651999997</v>
      </c>
      <c r="AL26" s="16">
        <f t="shared" si="23"/>
        <v>0.42739350651999997</v>
      </c>
      <c r="AM26" s="16">
        <f t="shared" si="23"/>
        <v>0.42739350651999997</v>
      </c>
      <c r="AN26" s="16">
        <f t="shared" si="23"/>
        <v>0.42739350651999997</v>
      </c>
      <c r="AO26" s="16">
        <f t="shared" si="23"/>
        <v>0.42739350651999997</v>
      </c>
      <c r="AP26" s="15"/>
      <c r="AQ26" s="15"/>
      <c r="AR26" s="15"/>
      <c r="AS26" s="15"/>
      <c r="AT26" s="23"/>
      <c r="AU26" s="23"/>
      <c r="AV26" s="23"/>
      <c r="AW26" s="23"/>
    </row>
    <row r="27" spans="1:49" s="13" customFormat="1" ht="13" x14ac:dyDescent="0.3">
      <c r="A27" s="20">
        <v>0</v>
      </c>
      <c r="B27" s="20">
        <v>1</v>
      </c>
      <c r="C27" s="20" t="s">
        <v>34</v>
      </c>
      <c r="D27" s="17">
        <f>Baseline!AN26</f>
        <v>0.25245260283815635</v>
      </c>
      <c r="E27" s="17">
        <f>Baseline!AO26</f>
        <v>0.60110188121277408</v>
      </c>
      <c r="F27" s="17">
        <f>Baseline!AP26</f>
        <v>1.096217216546284</v>
      </c>
      <c r="G27" s="17">
        <f>Baseline!AQ26</f>
        <v>1.9991489353318384</v>
      </c>
      <c r="H27" s="17">
        <f>Baseline!AR26</f>
        <v>4.7600704937982714</v>
      </c>
      <c r="I27" s="17">
        <f>IF((D27+'Non travel METs'!C27)&gt;2.5,(D27+'Non travel METs'!C27),0.1)</f>
        <v>0.1</v>
      </c>
      <c r="J27" s="17">
        <f>IF((E27+'Non travel METs'!D27)&gt;2.5,(E27+'Non travel METs'!D27),0.1)</f>
        <v>10.601101881212774</v>
      </c>
      <c r="K27" s="17">
        <f>IF((F27+'Non travel METs'!E27)&gt;2.5,(F27+'Non travel METs'!E27),0.1)</f>
        <v>4.8462172165462842</v>
      </c>
      <c r="L27" s="17">
        <f>IF((G27+'Non travel METs'!F27)&gt;2.5,(G27+'Non travel METs'!F27),0.1)</f>
        <v>7.2074822686651689</v>
      </c>
      <c r="M27" s="17">
        <f>IF((H27+'Non travel METs'!G27)&gt;2.5,(H27+'Non travel METs'!G27),0.1)</f>
        <v>4.7600704937982714</v>
      </c>
      <c r="N27" s="19">
        <f t="shared" si="16"/>
        <v>1</v>
      </c>
      <c r="O27" s="15">
        <f>IF(('user page'!$R$36=0),$N27^(I27^0.25),IF(('user page'!$R$36=1),$N27^(I27^0.5),IF(('user page'!$R$36=2),$N27^(I27^0.375),IF(('user page'!$R$36=4),$N27^(I27),IF(('user page'!$R$36=3),$N27^(LN(1+I27)),"")))))</f>
        <v>1</v>
      </c>
      <c r="P27" s="15">
        <f>IF(('user page'!$R$36=0),$N27^(J27^0.25),IF(('user page'!$R$36=1),$N27^(J27^0.5),IF(('user page'!$R$36=2),$N27^(J27^0.375),IF(('user page'!$R$36=4),$N27^(J27),IF(('user page'!$R$36=3),$N27^(LN(1+J27)),"")))))</f>
        <v>1</v>
      </c>
      <c r="Q27" s="15">
        <f>IF(('user page'!$R$36=0),$N27^(K27^0.25),IF(('user page'!$R$36=1),$N27^(K27^0.5),IF(('user page'!$R$36=2),$N27^(K27^0.375),IF(('user page'!$R$36=4),$N27^(K27),IF(('user page'!$R$36=3),$N27^(LN(1+K27)),"")))))</f>
        <v>1</v>
      </c>
      <c r="R27" s="15">
        <f>IF(('user page'!$R$36=0),$N27^(L27^0.25),IF(('user page'!$R$36=1),$N27^(L27^0.5),IF(('user page'!$R$36=2),$N27^(L27^0.375),IF(('user page'!$R$36=4),$N27^(L27),IF(('user page'!$R$36=3),$N27^(LN(1+L27)),"")))))</f>
        <v>1</v>
      </c>
      <c r="S27" s="15">
        <f>IF(('user page'!$R$36=0),$N27^(M27^0.25),IF(('user page'!$R$36=1),$N27^(M27^0.5),IF(('user page'!$R$36=2),$N27^(M27^0.375),IF(('user page'!$R$36=4),$N27^(M27),IF(('user page'!$R$36=3),$N27^(LN(1+M27)),"")))))</f>
        <v>1</v>
      </c>
      <c r="T27" s="18">
        <f t="shared" si="17"/>
        <v>1</v>
      </c>
      <c r="U27" s="18">
        <f t="shared" si="17"/>
        <v>1</v>
      </c>
      <c r="V27" s="18">
        <f t="shared" si="17"/>
        <v>1</v>
      </c>
      <c r="W27" s="18">
        <f t="shared" si="17"/>
        <v>1</v>
      </c>
      <c r="X27" s="18">
        <f t="shared" si="17"/>
        <v>1</v>
      </c>
      <c r="Y27" s="18"/>
      <c r="Z27" s="16"/>
      <c r="AA27" s="17">
        <f>GBDNZ!E10/($T27+$W27+$X27+U27+V27)</f>
        <v>0.30464688996</v>
      </c>
      <c r="AB27" s="16">
        <f t="shared" si="18"/>
        <v>0.30464688996</v>
      </c>
      <c r="AC27" s="16">
        <f t="shared" si="18"/>
        <v>0.30464688996</v>
      </c>
      <c r="AD27" s="16">
        <f t="shared" si="18"/>
        <v>0.30464688996</v>
      </c>
      <c r="AE27" s="16">
        <f t="shared" si="18"/>
        <v>0.30464688996</v>
      </c>
      <c r="AF27" s="17">
        <f>GBDNZ!F10/($T27+$W27+$X27+U27+V27)</f>
        <v>1.9892844053600001</v>
      </c>
      <c r="AG27" s="16">
        <f t="shared" si="19"/>
        <v>1.9892844053600001</v>
      </c>
      <c r="AH27" s="16">
        <f t="shared" si="20"/>
        <v>1.9892844053600001</v>
      </c>
      <c r="AI27" s="16">
        <f t="shared" si="21"/>
        <v>1.9892844053600001</v>
      </c>
      <c r="AJ27" s="16">
        <f t="shared" si="22"/>
        <v>1.9892844053600001</v>
      </c>
      <c r="AK27" s="17">
        <f>GBDNZ!G10/($T27+$W27+$X27+U27+V27)</f>
        <v>0.40745546038000002</v>
      </c>
      <c r="AL27" s="16">
        <f t="shared" si="23"/>
        <v>0.40745546038000002</v>
      </c>
      <c r="AM27" s="16">
        <f t="shared" si="23"/>
        <v>0.40745546038000002</v>
      </c>
      <c r="AN27" s="16">
        <f t="shared" si="23"/>
        <v>0.40745546038000002</v>
      </c>
      <c r="AO27" s="16">
        <f t="shared" si="23"/>
        <v>0.40745546038000002</v>
      </c>
      <c r="AP27" s="15"/>
      <c r="AQ27" s="15"/>
      <c r="AR27" s="15"/>
      <c r="AS27" s="15"/>
      <c r="AT27" s="23"/>
      <c r="AU27" s="23"/>
      <c r="AV27" s="23"/>
      <c r="AW27" s="23"/>
    </row>
    <row r="28" spans="1:49" s="13" customFormat="1" ht="13" x14ac:dyDescent="0.3">
      <c r="A28" s="20">
        <v>0</v>
      </c>
      <c r="B28" s="20">
        <v>2</v>
      </c>
      <c r="C28" s="20" t="s">
        <v>2</v>
      </c>
      <c r="D28" s="17">
        <f>Baseline!AN27</f>
        <v>0.12306474047506474</v>
      </c>
      <c r="E28" s="17">
        <f>Baseline!AO27</f>
        <v>0.29302311078942284</v>
      </c>
      <c r="F28" s="17">
        <f>Baseline!AP27</f>
        <v>0.53438025887596952</v>
      </c>
      <c r="G28" s="17">
        <f>Baseline!AQ27</f>
        <v>0.97453835742520556</v>
      </c>
      <c r="H28" s="17">
        <f>Baseline!AR27</f>
        <v>2.320423055165898</v>
      </c>
      <c r="I28" s="17"/>
      <c r="J28" s="17"/>
      <c r="K28" s="17"/>
      <c r="L28" s="17"/>
      <c r="M28" s="17"/>
      <c r="N28" s="19"/>
      <c r="O28" s="15"/>
      <c r="P28" s="15"/>
      <c r="Q28" s="15"/>
      <c r="R28" s="15"/>
      <c r="S28" s="15"/>
      <c r="T28" s="18"/>
      <c r="U28" s="18"/>
      <c r="V28" s="18"/>
      <c r="W28" s="18"/>
      <c r="X28" s="18"/>
      <c r="Y28" s="18"/>
      <c r="Z28" s="16"/>
      <c r="AA28" s="17"/>
      <c r="AB28" s="16"/>
      <c r="AC28" s="16"/>
      <c r="AD28" s="16"/>
      <c r="AE28" s="16"/>
      <c r="AF28" s="17"/>
      <c r="AG28" s="16">
        <f t="shared" si="19"/>
        <v>0</v>
      </c>
      <c r="AH28" s="16">
        <f t="shared" si="20"/>
        <v>0</v>
      </c>
      <c r="AI28" s="16">
        <f t="shared" si="21"/>
        <v>0</v>
      </c>
      <c r="AJ28" s="16">
        <f t="shared" si="22"/>
        <v>0</v>
      </c>
      <c r="AK28" s="17"/>
      <c r="AL28" s="16"/>
      <c r="AM28" s="16"/>
      <c r="AN28" s="16"/>
      <c r="AO28" s="16"/>
      <c r="AP28" s="15"/>
      <c r="AQ28" s="15"/>
      <c r="AR28" s="15"/>
      <c r="AS28" s="15"/>
      <c r="AT28" s="23"/>
      <c r="AU28" s="23"/>
      <c r="AV28" s="23"/>
      <c r="AW28" s="23"/>
    </row>
    <row r="29" spans="1:49" s="13" customFormat="1" ht="13" x14ac:dyDescent="0.3">
      <c r="A29" s="20">
        <v>0</v>
      </c>
      <c r="B29" s="20">
        <v>2</v>
      </c>
      <c r="C29" s="20" t="s">
        <v>40</v>
      </c>
      <c r="D29" s="17">
        <f>Baseline!AN28</f>
        <v>0.38870984204987979</v>
      </c>
      <c r="E29" s="17">
        <f>Baseline!AO28</f>
        <v>0.92553697080277386</v>
      </c>
      <c r="F29" s="17">
        <f>Baseline!AP28</f>
        <v>1.687882859220263</v>
      </c>
      <c r="G29" s="17">
        <f>Baseline!AQ28</f>
        <v>3.0781574764955164</v>
      </c>
      <c r="H29" s="17">
        <f>Baseline!AR28</f>
        <v>7.3292421190713979</v>
      </c>
      <c r="I29" s="17"/>
      <c r="J29" s="17"/>
      <c r="K29" s="17"/>
      <c r="L29" s="17"/>
      <c r="M29" s="17"/>
      <c r="N29" s="19"/>
      <c r="O29" s="15"/>
      <c r="P29" s="15"/>
      <c r="Q29" s="15"/>
      <c r="R29" s="15"/>
      <c r="S29" s="15"/>
      <c r="T29" s="18"/>
      <c r="U29" s="18"/>
      <c r="V29" s="18"/>
      <c r="W29" s="18"/>
      <c r="X29" s="18"/>
      <c r="Y29" s="18"/>
      <c r="Z29" s="16"/>
      <c r="AA29" s="17"/>
      <c r="AB29" s="16"/>
      <c r="AC29" s="16"/>
      <c r="AD29" s="16"/>
      <c r="AE29" s="16"/>
      <c r="AF29" s="17"/>
      <c r="AG29" s="16">
        <f t="shared" si="19"/>
        <v>0</v>
      </c>
      <c r="AH29" s="16">
        <f t="shared" si="20"/>
        <v>0</v>
      </c>
      <c r="AI29" s="16">
        <f t="shared" si="21"/>
        <v>0</v>
      </c>
      <c r="AJ29" s="16">
        <f t="shared" si="22"/>
        <v>0</v>
      </c>
      <c r="AK29" s="17"/>
      <c r="AL29" s="16"/>
      <c r="AM29" s="16"/>
      <c r="AN29" s="16"/>
      <c r="AO29" s="16"/>
      <c r="AP29" s="15"/>
      <c r="AQ29" s="15"/>
      <c r="AR29" s="15"/>
      <c r="AS29" s="15"/>
      <c r="AT29" s="23"/>
      <c r="AU29" s="23"/>
      <c r="AV29" s="23"/>
      <c r="AW29" s="23"/>
    </row>
    <row r="30" spans="1:49" s="13" customFormat="1" ht="13" x14ac:dyDescent="0.3">
      <c r="A30" s="20">
        <v>0</v>
      </c>
      <c r="B30" s="20">
        <v>2</v>
      </c>
      <c r="C30" s="20" t="s">
        <v>39</v>
      </c>
      <c r="D30" s="17">
        <f>Baseline!AN29</f>
        <v>0.38786520725769708</v>
      </c>
      <c r="E30" s="17">
        <f>Baseline!AO29</f>
        <v>0.9235258544315782</v>
      </c>
      <c r="F30" s="17">
        <f>Baseline!AP29</f>
        <v>1.6842152273936337</v>
      </c>
      <c r="G30" s="17">
        <f>Baseline!AQ29</f>
        <v>3.0714688912856469</v>
      </c>
      <c r="H30" s="17">
        <f>Baseline!AR29</f>
        <v>7.3133162735578114</v>
      </c>
      <c r="I30" s="17">
        <f>IF((D30+'Non travel METs'!C30)&gt;2.5,(D30+'Non travel METs'!C30),0.1)</f>
        <v>9.2545318739243676</v>
      </c>
      <c r="J30" s="17">
        <f>IF((E30+'Non travel METs'!D30)&gt;2.5,(E30+'Non travel METs'!D30),0.1)</f>
        <v>25.523525854431579</v>
      </c>
      <c r="K30" s="17">
        <f>IF((F30+'Non travel METs'!E30)&gt;2.5,(F30+'Non travel METs'!E30),0.1)</f>
        <v>31.534215227393634</v>
      </c>
      <c r="L30" s="17">
        <f>IF((G30+'Non travel METs'!F30)&gt;2.5,(G30+'Non travel METs'!F30),0.1)</f>
        <v>33.471468891285646</v>
      </c>
      <c r="M30" s="17">
        <f>IF((H30+'Non travel METs'!G30)&gt;2.5,(H30+'Non travel METs'!G30),0.1)</f>
        <v>48.31331627355781</v>
      </c>
      <c r="N30" s="19">
        <f t="shared" ref="N30:N35" si="24">N13</f>
        <v>0.97319906938028322</v>
      </c>
      <c r="O30" s="15">
        <f>IF(('user page'!$R$36=0),$N30^(I30^0.25),IF(('user page'!$R$36=1),$N30^(I30^0.5),IF(('user page'!$R$36=2),$N30^(I30^0.375),IF(('user page'!$R$36=4),$N30^(I30),IF(('user page'!$R$36=3),$N30^(LN(1+I30)),"")))))</f>
        <v>0.92067857447608215</v>
      </c>
      <c r="P30" s="15">
        <f>IF(('user page'!$R$36=0),$N30^(J30^0.25),IF(('user page'!$R$36=1),$N30^(J30^0.5),IF(('user page'!$R$36=2),$N30^(J30^0.375),IF(('user page'!$R$36=4),$N30^(J30),IF(('user page'!$R$36=3),$N30^(LN(1+J30)),"")))))</f>
        <v>0.87175400801731417</v>
      </c>
      <c r="Q30" s="15">
        <f>IF(('user page'!$R$36=0),$N30^(K30^0.25),IF(('user page'!$R$36=1),$N30^(K30^0.5),IF(('user page'!$R$36=2),$N30^(K30^0.375),IF(('user page'!$R$36=4),$N30^(K30),IF(('user page'!$R$36=3),$N30^(LN(1+K30)),"")))))</f>
        <v>0.85851160076983613</v>
      </c>
      <c r="R30" s="15">
        <f>IF(('user page'!$R$36=0),$N30^(L30^0.25),IF(('user page'!$R$36=1),$N30^(L30^0.5),IF(('user page'!$R$36=2),$N30^(L30^0.375),IF(('user page'!$R$36=4),$N30^(L30),IF(('user page'!$R$36=3),$N30^(LN(1+L30)),"")))))</f>
        <v>0.85455771696320992</v>
      </c>
      <c r="S30" s="15">
        <f>IF(('user page'!$R$36=0),$N30^(M30^0.25),IF(('user page'!$R$36=1),$N30^(M30^0.5),IF(('user page'!$R$36=2),$N30^(M30^0.375),IF(('user page'!$R$36=4),$N30^(M30),IF(('user page'!$R$36=3),$N30^(LN(1+M30)),"")))))</f>
        <v>0.82792792330900067</v>
      </c>
      <c r="T30" s="18">
        <f t="shared" ref="T30:X35" si="25">O30/$O30</f>
        <v>1</v>
      </c>
      <c r="U30" s="18">
        <f t="shared" si="25"/>
        <v>0.94686031823146444</v>
      </c>
      <c r="V30" s="18">
        <f t="shared" si="25"/>
        <v>0.93247700616730167</v>
      </c>
      <c r="W30" s="18">
        <f t="shared" si="25"/>
        <v>0.92818247394265829</v>
      </c>
      <c r="X30" s="18">
        <f t="shared" si="25"/>
        <v>0.89925837991846203</v>
      </c>
      <c r="Y30" s="18"/>
      <c r="Z30" s="16"/>
      <c r="AA30" s="17">
        <f>GBDNZ!E13/($T30+$W30+$X30+U30+V30)</f>
        <v>0.48690535200604479</v>
      </c>
      <c r="AB30" s="16">
        <f t="shared" ref="AB30:AE35" si="26">$AA30*U30</f>
        <v>0.46103135654904676</v>
      </c>
      <c r="AC30" s="16">
        <f t="shared" si="26"/>
        <v>0.45402804492543281</v>
      </c>
      <c r="AD30" s="16">
        <f t="shared" si="26"/>
        <v>0.45193701420089155</v>
      </c>
      <c r="AE30" s="16">
        <f t="shared" si="26"/>
        <v>0.4378537180185843</v>
      </c>
      <c r="AF30" s="17">
        <f>GBDNZ!F13/($T30+$W30+$X30+U30+V30)</f>
        <v>29.57074748478087</v>
      </c>
      <c r="AG30" s="16">
        <f t="shared" si="19"/>
        <v>27.99936737378189</v>
      </c>
      <c r="AH30" s="16">
        <f t="shared" si="20"/>
        <v>27.574042084737734</v>
      </c>
      <c r="AI30" s="16">
        <f t="shared" si="21"/>
        <v>27.447049556757548</v>
      </c>
      <c r="AJ30" s="16">
        <f t="shared" si="22"/>
        <v>26.591742476141981</v>
      </c>
      <c r="AK30" s="17">
        <f>GBDNZ!G13/($T30+$W30+$X30+U30+V30)</f>
        <v>1.2238048253698584</v>
      </c>
      <c r="AL30" s="16">
        <f t="shared" ref="AL30:AO35" si="27">U30*$AK30</f>
        <v>1.1587722264029059</v>
      </c>
      <c r="AM30" s="16">
        <f t="shared" si="27"/>
        <v>1.141169859693983</v>
      </c>
      <c r="AN30" s="16">
        <f t="shared" si="27"/>
        <v>1.1359141904347581</v>
      </c>
      <c r="AO30" s="16">
        <f t="shared" si="27"/>
        <v>1.1005167445984951</v>
      </c>
      <c r="AP30" s="15"/>
      <c r="AQ30" s="15"/>
      <c r="AR30" s="15"/>
      <c r="AS30" s="15"/>
      <c r="AT30" s="23"/>
      <c r="AU30" s="23"/>
      <c r="AV30" s="23"/>
      <c r="AW30" s="23"/>
    </row>
    <row r="31" spans="1:49" s="13" customFormat="1" ht="13" x14ac:dyDescent="0.3">
      <c r="A31" s="20">
        <v>0</v>
      </c>
      <c r="B31" s="20">
        <v>2</v>
      </c>
      <c r="C31" s="20" t="s">
        <v>38</v>
      </c>
      <c r="D31" s="17">
        <f>Baseline!AN30</f>
        <v>0.32214184162495779</v>
      </c>
      <c r="E31" s="17">
        <f>Baseline!AO30</f>
        <v>0.76703533590520923</v>
      </c>
      <c r="F31" s="17">
        <f>Baseline!AP30</f>
        <v>1.3988266668242526</v>
      </c>
      <c r="G31" s="17">
        <f>Baseline!AQ30</f>
        <v>2.5510116056249852</v>
      </c>
      <c r="H31" s="17">
        <f>Baseline!AR30</f>
        <v>6.0740822550356066</v>
      </c>
      <c r="I31" s="17">
        <f>IF((D31+'Non travel METs'!C31)&gt;2.5,(D31+'Non travel METs'!C31),0.1)</f>
        <v>41.322141841624955</v>
      </c>
      <c r="J31" s="17">
        <f>IF((E31+'Non travel METs'!D31)&gt;2.5,(E31+'Non travel METs'!D31),0.1)</f>
        <v>36.642035335905206</v>
      </c>
      <c r="K31" s="17">
        <f>IF((F31+'Non travel METs'!E31)&gt;2.5,(F31+'Non travel METs'!E31),0.1)</f>
        <v>40.248826666824257</v>
      </c>
      <c r="L31" s="17">
        <f>IF((G31+'Non travel METs'!F31)&gt;2.5,(G31+'Non travel METs'!F31),0.1)</f>
        <v>43.551011605624986</v>
      </c>
      <c r="M31" s="17">
        <f>IF((H31+'Non travel METs'!G31)&gt;2.5,(H31+'Non travel METs'!G31),0.1)</f>
        <v>48.340748921702307</v>
      </c>
      <c r="N31" s="19">
        <f t="shared" si="24"/>
        <v>0.97319906938028322</v>
      </c>
      <c r="O31" s="15">
        <f>IF(('user page'!$R$36=0),$N31^(I31^0.25),IF(('user page'!$R$36=1),$N31^(I31^0.5),IF(('user page'!$R$36=2),$N31^(I31^0.375),IF(('user page'!$R$36=4),$N31^(I31),IF(('user page'!$R$36=3),$N31^(LN(1+I31)),"")))))</f>
        <v>0.83976489655362929</v>
      </c>
      <c r="P31" s="15">
        <f>IF(('user page'!$R$36=0),$N31^(J31^0.25),IF(('user page'!$R$36=1),$N31^(J31^0.5),IF(('user page'!$R$36=2),$N31^(J31^0.375),IF(('user page'!$R$36=4),$N31^(J31),IF(('user page'!$R$36=3),$N31^(LN(1+J31)),"")))))</f>
        <v>0.84836287426788215</v>
      </c>
      <c r="Q31" s="15">
        <f>IF(('user page'!$R$36=0),$N31^(K31^0.25),IF(('user page'!$R$36=1),$N31^(K31^0.5),IF(('user page'!$R$36=2),$N31^(K31^0.375),IF(('user page'!$R$36=4),$N31^(K31),IF(('user page'!$R$36=3),$N31^(LN(1+K31)),"")))))</f>
        <v>0.84168419750334189</v>
      </c>
      <c r="R31" s="15">
        <f>IF(('user page'!$R$36=0),$N31^(L31^0.25),IF(('user page'!$R$36=1),$N31^(L31^0.5),IF(('user page'!$R$36=2),$N31^(L31^0.375),IF(('user page'!$R$36=4),$N31^(L31),IF(('user page'!$R$36=3),$N31^(LN(1+L31)),"")))))</f>
        <v>0.83587080213017162</v>
      </c>
      <c r="S31" s="15">
        <f>IF(('user page'!$R$36=0),$N31^(M31^0.25),IF(('user page'!$R$36=1),$N31^(M31^0.5),IF(('user page'!$R$36=2),$N31^(M31^0.375),IF(('user page'!$R$36=4),$N31^(M31),IF(('user page'!$R$36=3),$N31^(LN(1+M31)),"")))))</f>
        <v>0.82788354617558224</v>
      </c>
      <c r="T31" s="18">
        <f t="shared" si="25"/>
        <v>1</v>
      </c>
      <c r="U31" s="18">
        <f t="shared" si="25"/>
        <v>1.0102385533731391</v>
      </c>
      <c r="V31" s="18">
        <f t="shared" si="25"/>
        <v>1.0022855217663769</v>
      </c>
      <c r="W31" s="18">
        <f t="shared" si="25"/>
        <v>0.99536287544354507</v>
      </c>
      <c r="X31" s="18">
        <f t="shared" si="25"/>
        <v>0.98585157533161039</v>
      </c>
      <c r="Y31" s="18"/>
      <c r="Z31" s="16"/>
      <c r="AA31" s="17">
        <f>GBDNZ!E14/($T31+$W31+$X31+U31+V31)</f>
        <v>10.356372981728619</v>
      </c>
      <c r="AB31" s="16">
        <f t="shared" si="26"/>
        <v>10.462407259254183</v>
      </c>
      <c r="AC31" s="16">
        <f t="shared" si="26"/>
        <v>10.380042697599077</v>
      </c>
      <c r="AD31" s="16">
        <f t="shared" si="26"/>
        <v>10.308349190259239</v>
      </c>
      <c r="AE31" s="16">
        <f t="shared" si="26"/>
        <v>10.209846618758887</v>
      </c>
      <c r="AF31" s="17">
        <f>GBDNZ!F14/($T31+$W31+$X31+U31+V31)</f>
        <v>489.50571187790877</v>
      </c>
      <c r="AG31" s="16">
        <f t="shared" si="19"/>
        <v>494.51754223542719</v>
      </c>
      <c r="AH31" s="16">
        <f t="shared" si="20"/>
        <v>490.6244878371715</v>
      </c>
      <c r="AI31" s="16">
        <f t="shared" si="21"/>
        <v>487.23581292083475</v>
      </c>
      <c r="AJ31" s="16">
        <f t="shared" si="22"/>
        <v>482.57997718865772</v>
      </c>
      <c r="AK31" s="17">
        <f>GBDNZ!G14/($T31+$W31+$X31+U31+V31)</f>
        <v>21.204949945512904</v>
      </c>
      <c r="AL31" s="16">
        <f t="shared" si="27"/>
        <v>21.42205795730478</v>
      </c>
      <c r="AM31" s="16">
        <f t="shared" si="27"/>
        <v>21.253414320168307</v>
      </c>
      <c r="AN31" s="16">
        <f t="shared" si="27"/>
        <v>21.10661995140217</v>
      </c>
      <c r="AO31" s="16">
        <f t="shared" si="27"/>
        <v>20.904933308611842</v>
      </c>
      <c r="AP31" s="15"/>
      <c r="AQ31" s="15"/>
      <c r="AR31" s="15"/>
      <c r="AS31" s="15"/>
      <c r="AT31" s="23"/>
      <c r="AU31" s="23"/>
      <c r="AV31" s="23"/>
      <c r="AW31" s="23"/>
    </row>
    <row r="32" spans="1:49" s="13" customFormat="1" ht="13" x14ac:dyDescent="0.3">
      <c r="A32" s="20">
        <v>0</v>
      </c>
      <c r="B32" s="20">
        <v>2</v>
      </c>
      <c r="C32" s="20" t="s">
        <v>37</v>
      </c>
      <c r="D32" s="17">
        <f>Baseline!AN31</f>
        <v>0.46307739299727485</v>
      </c>
      <c r="E32" s="17">
        <f>Baseline!AO31</f>
        <v>1.1026097134606268</v>
      </c>
      <c r="F32" s="17">
        <f>Baseline!AP31</f>
        <v>2.0108068013163582</v>
      </c>
      <c r="G32" s="17">
        <f>Baseline!AQ31</f>
        <v>3.6670672703669323</v>
      </c>
      <c r="H32" s="17">
        <f>Baseline!AR31</f>
        <v>8.7314648768524989</v>
      </c>
      <c r="I32" s="17">
        <f>IF((D32+'Non travel METs'!C32)&gt;2.5,(D32+'Non travel METs'!C32),0.1)</f>
        <v>42.113077392997276</v>
      </c>
      <c r="J32" s="17">
        <f>IF((E32+'Non travel METs'!D32)&gt;2.5,(E32+'Non travel METs'!D32),0.1)</f>
        <v>44.15260971346062</v>
      </c>
      <c r="K32" s="17">
        <f>IF((F32+'Non travel METs'!E32)&gt;2.5,(F32+'Non travel METs'!E32),0.1)</f>
        <v>48.077473467983054</v>
      </c>
      <c r="L32" s="17">
        <f>IF((G32+'Non travel METs'!F32)&gt;2.5,(G32+'Non travel METs'!F32),0.1)</f>
        <v>44.667067270366935</v>
      </c>
      <c r="M32" s="17">
        <f>IF((H32+'Non travel METs'!G32)&gt;2.5,(H32+'Non travel METs'!G32),0.1)</f>
        <v>49.731464876852499</v>
      </c>
      <c r="N32" s="19">
        <f t="shared" si="24"/>
        <v>0.97319906938028322</v>
      </c>
      <c r="O32" s="15">
        <f>IF(('user page'!$R$36=0),$N32^(I32^0.25),IF(('user page'!$R$36=1),$N32^(I32^0.5),IF(('user page'!$R$36=2),$N32^(I32^0.375),IF(('user page'!$R$36=4),$N32^(I32),IF(('user page'!$R$36=3),$N32^(LN(1+I32)),"")))))</f>
        <v>0.83836920800002002</v>
      </c>
      <c r="P32" s="15">
        <f>IF(('user page'!$R$36=0),$N32^(J32^0.25),IF(('user page'!$R$36=1),$N32^(J32^0.5),IF(('user page'!$R$36=2),$N32^(J32^0.375),IF(('user page'!$R$36=4),$N32^(J32),IF(('user page'!$R$36=3),$N32^(LN(1+J32)),"")))))</f>
        <v>0.83483996001912197</v>
      </c>
      <c r="Q32" s="15">
        <f>IF(('user page'!$R$36=0),$N32^(K32^0.25),IF(('user page'!$R$36=1),$N32^(K32^0.5),IF(('user page'!$R$36=2),$N32^(K32^0.375),IF(('user page'!$R$36=4),$N32^(K32),IF(('user page'!$R$36=3),$N32^(LN(1+K32)),"")))))</f>
        <v>0.82831005988190065</v>
      </c>
      <c r="R32" s="15">
        <f>IF(('user page'!$R$36=0),$N32^(L32^0.25),IF(('user page'!$R$36=1),$N32^(L32^0.5),IF(('user page'!$R$36=2),$N32^(L32^0.375),IF(('user page'!$R$36=4),$N32^(L32),IF(('user page'!$R$36=3),$N32^(LN(1+L32)),"")))))</f>
        <v>0.83396499034538751</v>
      </c>
      <c r="S32" s="15">
        <f>IF(('user page'!$R$36=0),$N32^(M32^0.25),IF(('user page'!$R$36=1),$N32^(M32^0.5),IF(('user page'!$R$36=2),$N32^(M32^0.375),IF(('user page'!$R$36=4),$N32^(M32),IF(('user page'!$R$36=3),$N32^(LN(1+M32)),"")))))</f>
        <v>0.82565315712446252</v>
      </c>
      <c r="T32" s="18">
        <f t="shared" si="25"/>
        <v>1</v>
      </c>
      <c r="U32" s="18">
        <f t="shared" si="25"/>
        <v>0.99579034159744817</v>
      </c>
      <c r="V32" s="18">
        <f t="shared" si="25"/>
        <v>0.98800152960994825</v>
      </c>
      <c r="W32" s="18">
        <f t="shared" si="25"/>
        <v>0.99474668485840623</v>
      </c>
      <c r="X32" s="18">
        <f t="shared" si="25"/>
        <v>0.98483239752341045</v>
      </c>
      <c r="Y32" s="18"/>
      <c r="Z32" s="16"/>
      <c r="AA32" s="17">
        <f>GBDNZ!E15/($T32+$W32+$X32+U32+V32)</f>
        <v>39.355033081649154</v>
      </c>
      <c r="AB32" s="16">
        <f t="shared" si="26"/>
        <v>39.189361835954287</v>
      </c>
      <c r="AC32" s="16">
        <f t="shared" si="26"/>
        <v>38.88283288251948</v>
      </c>
      <c r="AD32" s="16">
        <f t="shared" si="26"/>
        <v>39.148288690463403</v>
      </c>
      <c r="AE32" s="16">
        <f t="shared" si="26"/>
        <v>38.758111584413669</v>
      </c>
      <c r="AF32" s="17">
        <f>GBDNZ!F15/($T32+$W32+$X32+U32+V32)</f>
        <v>1370.1429758302197</v>
      </c>
      <c r="AG32" s="16">
        <f t="shared" si="19"/>
        <v>1364.3751419393186</v>
      </c>
      <c r="AH32" s="16">
        <f t="shared" si="20"/>
        <v>1353.7033559045835</v>
      </c>
      <c r="AI32" s="16">
        <f t="shared" si="21"/>
        <v>1362.9451829891425</v>
      </c>
      <c r="AJ32" s="16">
        <f t="shared" si="22"/>
        <v>1349.3611918367355</v>
      </c>
      <c r="AK32" s="17">
        <f>GBDNZ!G15/($T32+$W32+$X32+U32+V32)</f>
        <v>92.85284144170835</v>
      </c>
      <c r="AL32" s="16">
        <f t="shared" si="27"/>
        <v>92.461962697532442</v>
      </c>
      <c r="AM32" s="16">
        <f t="shared" si="27"/>
        <v>91.738749373037848</v>
      </c>
      <c r="AN32" s="16">
        <f t="shared" si="27"/>
        <v>92.365056203822618</v>
      </c>
      <c r="AO32" s="16">
        <f t="shared" si="27"/>
        <v>91.444486453898719</v>
      </c>
      <c r="AP32" s="15"/>
      <c r="AQ32" s="15"/>
      <c r="AR32" s="15"/>
      <c r="AS32" s="15"/>
      <c r="AT32" s="23"/>
      <c r="AU32" s="23"/>
      <c r="AV32" s="23"/>
      <c r="AW32" s="23"/>
    </row>
    <row r="33" spans="1:49" s="13" customFormat="1" ht="13" x14ac:dyDescent="0.3">
      <c r="A33" s="20">
        <v>0</v>
      </c>
      <c r="B33" s="20">
        <v>2</v>
      </c>
      <c r="C33" s="20" t="s">
        <v>36</v>
      </c>
      <c r="D33" s="17">
        <f>Baseline!AN32</f>
        <v>0.35634958562049185</v>
      </c>
      <c r="E33" s="17">
        <f>Baseline!AO32</f>
        <v>0.8484856320661196</v>
      </c>
      <c r="F33" s="17">
        <f>Baseline!AP32</f>
        <v>1.5473659074006401</v>
      </c>
      <c r="G33" s="17">
        <f>Baseline!AQ32</f>
        <v>2.8218995830906697</v>
      </c>
      <c r="H33" s="17">
        <f>Baseline!AR32</f>
        <v>6.7190796566149293</v>
      </c>
      <c r="I33" s="17">
        <f>IF((D33+'Non travel METs'!C33)&gt;2.5,(D33+'Non travel METs'!C33),0.1)</f>
        <v>33.15634958562049</v>
      </c>
      <c r="J33" s="17">
        <f>IF((E33+'Non travel METs'!D33)&gt;2.5,(E33+'Non travel METs'!D33),0.1)</f>
        <v>18.848485632066119</v>
      </c>
      <c r="K33" s="17">
        <f>IF((F33+'Non travel METs'!E33)&gt;2.5,(F33+'Non travel METs'!E33),0.1)</f>
        <v>33.297365907400639</v>
      </c>
      <c r="L33" s="17">
        <f>IF((G33+'Non travel METs'!F33)&gt;2.5,(G33+'Non travel METs'!F33),0.1)</f>
        <v>23.321899583090669</v>
      </c>
      <c r="M33" s="17">
        <f>IF((H33+'Non travel METs'!G33)&gt;2.5,(H33+'Non travel METs'!G33),0.1)</f>
        <v>11.21907965661493</v>
      </c>
      <c r="N33" s="19">
        <f t="shared" si="24"/>
        <v>0.97319906938028322</v>
      </c>
      <c r="O33" s="15">
        <f>IF(('user page'!$R$36=0),$N33^(I33^0.25),IF(('user page'!$R$36=1),$N33^(I33^0.5),IF(('user page'!$R$36=2),$N33^(I33^0.375),IF(('user page'!$R$36=4),$N33^(I33),IF(('user page'!$R$36=3),$N33^(LN(1+I33)),"")))))</f>
        <v>0.85519169111889981</v>
      </c>
      <c r="P33" s="15">
        <f>IF(('user page'!$R$36=0),$N33^(J33^0.25),IF(('user page'!$R$36=1),$N33^(J33^0.5),IF(('user page'!$R$36=2),$N33^(J33^0.375),IF(('user page'!$R$36=4),$N33^(J33),IF(('user page'!$R$36=3),$N33^(LN(1+J33)),"")))))</f>
        <v>0.88874629020263796</v>
      </c>
      <c r="Q33" s="15">
        <f>IF(('user page'!$R$36=0),$N33^(K33^0.25),IF(('user page'!$R$36=1),$N33^(K33^0.5),IF(('user page'!$R$36=2),$N33^(K33^0.375),IF(('user page'!$R$36=4),$N33^(K33),IF(('user page'!$R$36=3),$N33^(LN(1+K33)),"")))))</f>
        <v>0.85490755791472695</v>
      </c>
      <c r="R33" s="15">
        <f>IF(('user page'!$R$36=0),$N33^(L33^0.25),IF(('user page'!$R$36=1),$N33^(L33^0.5),IF(('user page'!$R$36=2),$N33^(L33^0.375),IF(('user page'!$R$36=4),$N33^(L33),IF(('user page'!$R$36=3),$N33^(LN(1+L33)),"")))))</f>
        <v>0.87704663988248865</v>
      </c>
      <c r="S33" s="15">
        <f>IF(('user page'!$R$36=0),$N33^(M33^0.25),IF(('user page'!$R$36=1),$N33^(M33^0.5),IF(('user page'!$R$36=2),$N33^(M33^0.375),IF(('user page'!$R$36=4),$N33^(M33),IF(('user page'!$R$36=3),$N33^(LN(1+M33)),"")))))</f>
        <v>0.91302289513676071</v>
      </c>
      <c r="T33" s="18">
        <f t="shared" si="25"/>
        <v>1</v>
      </c>
      <c r="U33" s="18">
        <f t="shared" si="25"/>
        <v>1.0392363483324267</v>
      </c>
      <c r="V33" s="18">
        <f t="shared" si="25"/>
        <v>0.99966775495234161</v>
      </c>
      <c r="W33" s="18">
        <f t="shared" si="25"/>
        <v>1.0255556140109297</v>
      </c>
      <c r="X33" s="18">
        <f t="shared" si="25"/>
        <v>1.0676236738715232</v>
      </c>
      <c r="Y33" s="18"/>
      <c r="Z33" s="16"/>
      <c r="AA33" s="17">
        <f>GBDNZ!E16/($T33+$W33+$X33+U33+V33)</f>
        <v>33.196652511184581</v>
      </c>
      <c r="AB33" s="16">
        <f t="shared" si="26"/>
        <v>34.499167932583951</v>
      </c>
      <c r="AC33" s="16">
        <f t="shared" si="26"/>
        <v>33.185623087788905</v>
      </c>
      <c r="AD33" s="16">
        <f t="shared" si="26"/>
        <v>34.045013349215374</v>
      </c>
      <c r="AE33" s="16">
        <f t="shared" si="26"/>
        <v>35.441532114227208</v>
      </c>
      <c r="AF33" s="17">
        <f>GBDNZ!F16/($T33+$W33+$X33+U33+V33)</f>
        <v>793.951613980552</v>
      </c>
      <c r="AG33" s="16">
        <f t="shared" si="19"/>
        <v>825.10337606578537</v>
      </c>
      <c r="AH33" s="16">
        <f t="shared" si="20"/>
        <v>793.68782748872661</v>
      </c>
      <c r="AI33" s="16">
        <f t="shared" si="21"/>
        <v>814.24153497079362</v>
      </c>
      <c r="AJ33" s="16">
        <f t="shared" si="22"/>
        <v>847.64153899414237</v>
      </c>
      <c r="AK33" s="17">
        <f>GBDNZ!G16/($T33+$W33+$X33+U33+V33)</f>
        <v>79.915330081322224</v>
      </c>
      <c r="AL33" s="16">
        <f t="shared" si="27"/>
        <v>83.050915809493844</v>
      </c>
      <c r="AM33" s="16">
        <f t="shared" si="27"/>
        <v>79.888778608670719</v>
      </c>
      <c r="AN33" s="16">
        <f t="shared" si="27"/>
        <v>81.957615410436532</v>
      </c>
      <c r="AO33" s="16">
        <f t="shared" si="27"/>
        <v>85.319498300076688</v>
      </c>
      <c r="AP33" s="15"/>
      <c r="AQ33" s="15"/>
      <c r="AR33" s="15"/>
      <c r="AS33" s="15"/>
      <c r="AT33" s="23"/>
      <c r="AU33" s="23"/>
      <c r="AV33" s="23"/>
      <c r="AW33" s="23"/>
    </row>
    <row r="34" spans="1:49" s="13" customFormat="1" ht="13" x14ac:dyDescent="0.3">
      <c r="A34" s="20">
        <v>0</v>
      </c>
      <c r="B34" s="20">
        <v>2</v>
      </c>
      <c r="C34" s="20" t="s">
        <v>35</v>
      </c>
      <c r="D34" s="17">
        <f>Baseline!AN33</f>
        <v>0.30903559868571595</v>
      </c>
      <c r="E34" s="17">
        <f>Baseline!AO33</f>
        <v>0.73582873633823809</v>
      </c>
      <c r="F34" s="17">
        <f>Baseline!AP33</f>
        <v>1.3419158289374042</v>
      </c>
      <c r="G34" s="17">
        <f>Baseline!AQ33</f>
        <v>2.4472244736104138</v>
      </c>
      <c r="H34" s="17">
        <f>Baseline!AR33</f>
        <v>5.8269600641836821</v>
      </c>
      <c r="I34" s="17">
        <f>IF((D34+'Non travel METs'!C34)&gt;2.5,(D34+'Non travel METs'!C34),0.1)</f>
        <v>6.1423689320190462</v>
      </c>
      <c r="J34" s="17">
        <f>IF((E34+'Non travel METs'!D34)&gt;2.5,(E34+'Non travel METs'!D34),0.1)</f>
        <v>5.7358287363382381</v>
      </c>
      <c r="K34" s="17">
        <f>IF((F34+'Non travel METs'!E34)&gt;2.5,(F34+'Non travel METs'!E34),0.1)</f>
        <v>3.8419158289374042</v>
      </c>
      <c r="L34" s="17">
        <f>IF((G34+'Non travel METs'!F34)&gt;2.5,(G34+'Non travel METs'!F34),0.1)</f>
        <v>6.1972244736104134</v>
      </c>
      <c r="M34" s="17">
        <f>IF((H34+'Non travel METs'!G34)&gt;2.5,(H34+'Non travel METs'!G34),0.1)</f>
        <v>5.8269600641836821</v>
      </c>
      <c r="N34" s="19">
        <f t="shared" si="24"/>
        <v>0.97319906938028322</v>
      </c>
      <c r="O34" s="15">
        <f>IF(('user page'!$R$36=0),$N34^(I34^0.25),IF(('user page'!$R$36=1),$N34^(I34^0.5),IF(('user page'!$R$36=2),$N34^(I34^0.375),IF(('user page'!$R$36=4),$N34^(I34),IF(('user page'!$R$36=3),$N34^(LN(1+I34)),"")))))</f>
        <v>0.93488736083475921</v>
      </c>
      <c r="P34" s="15">
        <f>IF(('user page'!$R$36=0),$N34^(J34^0.25),IF(('user page'!$R$36=1),$N34^(J34^0.5),IF(('user page'!$R$36=2),$N34^(J34^0.375),IF(('user page'!$R$36=4),$N34^(J34),IF(('user page'!$R$36=3),$N34^(LN(1+J34)),"")))))</f>
        <v>0.93700847484822547</v>
      </c>
      <c r="Q34" s="15">
        <f>IF(('user page'!$R$36=0),$N34^(K34^0.25),IF(('user page'!$R$36=1),$N34^(K34^0.5),IF(('user page'!$R$36=2),$N34^(K34^0.375),IF(('user page'!$R$36=4),$N34^(K34),IF(('user page'!$R$36=3),$N34^(LN(1+K34)),"")))))</f>
        <v>0.94814411105458096</v>
      </c>
      <c r="R34" s="15">
        <f>IF(('user page'!$R$36=0),$N34^(L34^0.25),IF(('user page'!$R$36=1),$N34^(L34^0.5),IF(('user page'!$R$36=2),$N34^(L34^0.375),IF(('user page'!$R$36=4),$N34^(L34),IF(('user page'!$R$36=3),$N34^(LN(1+L34)),"")))))</f>
        <v>0.93460695568544427</v>
      </c>
      <c r="S34" s="15">
        <f>IF(('user page'!$R$36=0),$N34^(M34^0.25),IF(('user page'!$R$36=1),$N34^(M34^0.5),IF(('user page'!$R$36=2),$N34^(M34^0.375),IF(('user page'!$R$36=4),$N34^(M34),IF(('user page'!$R$36=3),$N34^(LN(1+M34)),"")))))</f>
        <v>0.9365262026975667</v>
      </c>
      <c r="T34" s="18">
        <f t="shared" si="25"/>
        <v>1</v>
      </c>
      <c r="U34" s="18">
        <f t="shared" si="25"/>
        <v>1.0022688444643988</v>
      </c>
      <c r="V34" s="18">
        <f t="shared" si="25"/>
        <v>1.0141800507474876</v>
      </c>
      <c r="W34" s="18">
        <f t="shared" si="25"/>
        <v>0.99970006531154243</v>
      </c>
      <c r="X34" s="18">
        <f t="shared" si="25"/>
        <v>1.001752983227139</v>
      </c>
      <c r="Y34" s="18"/>
      <c r="Z34" s="16"/>
      <c r="AA34" s="17">
        <f>GBDNZ!E17/($T34+$W34+$X34+U34+V34)</f>
        <v>24.582752576827104</v>
      </c>
      <c r="AB34" s="16">
        <f t="shared" si="26"/>
        <v>24.638527018930724</v>
      </c>
      <c r="AC34" s="16">
        <f t="shared" si="26"/>
        <v>24.931337255879445</v>
      </c>
      <c r="AD34" s="16">
        <f t="shared" si="26"/>
        <v>24.575379356591544</v>
      </c>
      <c r="AE34" s="16">
        <f t="shared" si="26"/>
        <v>24.625845729771189</v>
      </c>
      <c r="AF34" s="17">
        <f>GBDNZ!F17/($T34+$W34+$X34+U34+V34)</f>
        <v>377.26455782933124</v>
      </c>
      <c r="AG34" s="16">
        <f t="shared" si="19"/>
        <v>378.12051243297617</v>
      </c>
      <c r="AH34" s="16">
        <f t="shared" si="20"/>
        <v>382.61418840457964</v>
      </c>
      <c r="AI34" s="16">
        <f t="shared" si="21"/>
        <v>377.15140310171262</v>
      </c>
      <c r="AJ34" s="16">
        <f t="shared" si="22"/>
        <v>377.92589627140006</v>
      </c>
      <c r="AK34" s="17">
        <f>GBDNZ!G17/($T34+$W34+$X34+U34+V34)</f>
        <v>55.160336545579732</v>
      </c>
      <c r="AL34" s="16">
        <f t="shared" si="27"/>
        <v>55.285486769805544</v>
      </c>
      <c r="AM34" s="16">
        <f t="shared" si="27"/>
        <v>55.942512917044546</v>
      </c>
      <c r="AN34" s="16">
        <f t="shared" si="27"/>
        <v>55.143792047222718</v>
      </c>
      <c r="AO34" s="16">
        <f t="shared" si="27"/>
        <v>55.257031690347475</v>
      </c>
      <c r="AP34" s="15"/>
      <c r="AQ34" s="15"/>
      <c r="AR34" s="15"/>
      <c r="AS34" s="15"/>
      <c r="AT34" s="23"/>
      <c r="AU34" s="23"/>
      <c r="AV34" s="23"/>
      <c r="AW34" s="23"/>
    </row>
    <row r="35" spans="1:49" s="13" customFormat="1" ht="13" x14ac:dyDescent="0.3">
      <c r="A35" s="20">
        <v>0</v>
      </c>
      <c r="B35" s="20">
        <v>2</v>
      </c>
      <c r="C35" s="20" t="s">
        <v>34</v>
      </c>
      <c r="D35" s="17">
        <f>Baseline!AN34</f>
        <v>0.18233554535978089</v>
      </c>
      <c r="E35" s="17">
        <f>Baseline!AO34</f>
        <v>0.43414976948360384</v>
      </c>
      <c r="F35" s="17">
        <f>Baseline!AP34</f>
        <v>0.79175006224787237</v>
      </c>
      <c r="G35" s="17">
        <f>Baseline!AQ34</f>
        <v>1.4438984081809676</v>
      </c>
      <c r="H35" s="17">
        <f>Baseline!AR34</f>
        <v>3.4379920812071276</v>
      </c>
      <c r="I35" s="17">
        <f>IF((D35+'Non travel METs'!C35)&gt;2.5,(D35+'Non travel METs'!C35),0.1)</f>
        <v>6.6823355453597806</v>
      </c>
      <c r="J35" s="17">
        <f>IF((E35+'Non travel METs'!D35)&gt;2.5,(E35+'Non travel METs'!D35),0.1)</f>
        <v>3.5591497694836036</v>
      </c>
      <c r="K35" s="17">
        <f>IF((F35+'Non travel METs'!E35)&gt;2.5,(F35+'Non travel METs'!E35),0.1)</f>
        <v>0.1</v>
      </c>
      <c r="L35" s="17">
        <f>IF((G35+'Non travel METs'!F35)&gt;2.5,(G35+'Non travel METs'!F35),0.1)</f>
        <v>0.1</v>
      </c>
      <c r="M35" s="17">
        <f>IF((H35+'Non travel METs'!G35)&gt;2.5,(H35+'Non travel METs'!G35),0.1)</f>
        <v>3.4379920812071276</v>
      </c>
      <c r="N35" s="19">
        <f t="shared" si="24"/>
        <v>0.97319906938028322</v>
      </c>
      <c r="O35" s="15">
        <f>IF(('user page'!$R$36=0),$N35^(I35^0.25),IF(('user page'!$R$36=1),$N35^(I35^0.5),IF(('user page'!$R$36=2),$N35^(I35^0.375),IF(('user page'!$R$36=4),$N35^(I35),IF(('user page'!$R$36=3),$N35^(LN(1+I35)),"")))))</f>
        <v>0.93218283863449425</v>
      </c>
      <c r="P35" s="15">
        <f>IF(('user page'!$R$36=0),$N35^(J35^0.25),IF(('user page'!$R$36=1),$N35^(J35^0.5),IF(('user page'!$R$36=2),$N35^(J35^0.375),IF(('user page'!$R$36=4),$N35^(J35),IF(('user page'!$R$36=3),$N35^(LN(1+J35)),"")))))</f>
        <v>0.95003945567826165</v>
      </c>
      <c r="Q35" s="15">
        <f>IF(('user page'!$R$36=0),$N35^(K35^0.25),IF(('user page'!$R$36=1),$N35^(K35^0.5),IF(('user page'!$R$36=2),$N35^(K35^0.375),IF(('user page'!$R$36=4),$N35^(K35),IF(('user page'!$R$36=3),$N35^(LN(1+K35)),"")))))</f>
        <v>0.99144595491037002</v>
      </c>
      <c r="R35" s="15">
        <f>IF(('user page'!$R$36=0),$N35^(L35^0.25),IF(('user page'!$R$36=1),$N35^(L35^0.5),IF(('user page'!$R$36=2),$N35^(L35^0.375),IF(('user page'!$R$36=4),$N35^(L35),IF(('user page'!$R$36=3),$N35^(LN(1+L35)),"")))))</f>
        <v>0.99144595491037002</v>
      </c>
      <c r="S35" s="15">
        <f>IF(('user page'!$R$36=0),$N35^(M35^0.25),IF(('user page'!$R$36=1),$N35^(M35^0.5),IF(('user page'!$R$36=2),$N35^(M35^0.375),IF(('user page'!$R$36=4),$N35^(M35),IF(('user page'!$R$36=3),$N35^(LN(1+M35)),"")))))</f>
        <v>0.9508757522528748</v>
      </c>
      <c r="T35" s="18">
        <f t="shared" si="25"/>
        <v>1</v>
      </c>
      <c r="U35" s="18">
        <f t="shared" si="25"/>
        <v>1.019155702404825</v>
      </c>
      <c r="V35" s="18">
        <f t="shared" si="25"/>
        <v>1.0635745626498416</v>
      </c>
      <c r="W35" s="18">
        <f t="shared" si="25"/>
        <v>1.0635745626498416</v>
      </c>
      <c r="X35" s="18">
        <f t="shared" si="25"/>
        <v>1.0200528403266498</v>
      </c>
      <c r="Y35" s="18"/>
      <c r="Z35" s="16"/>
      <c r="AA35" s="17">
        <f>GBDNZ!E18/($T35+$W35+$X35+U35+V35)</f>
        <v>32.942090893768452</v>
      </c>
      <c r="AB35" s="16">
        <f t="shared" si="26"/>
        <v>33.573119783522174</v>
      </c>
      <c r="AC35" s="16">
        <f t="shared" si="26"/>
        <v>35.036369915111109</v>
      </c>
      <c r="AD35" s="16">
        <f t="shared" si="26"/>
        <v>35.036369915111109</v>
      </c>
      <c r="AE35" s="16">
        <f t="shared" si="26"/>
        <v>33.602673382487176</v>
      </c>
      <c r="AF35" s="17">
        <f>GBDNZ!F18/($T35+$W35+$X35+U35+V35)</f>
        <v>188.11451419707217</v>
      </c>
      <c r="AG35" s="16">
        <f t="shared" si="19"/>
        <v>191.7179798490595</v>
      </c>
      <c r="AH35" s="16">
        <f t="shared" si="20"/>
        <v>200.07381216523845</v>
      </c>
      <c r="AI35" s="16">
        <f t="shared" si="21"/>
        <v>200.07381216523845</v>
      </c>
      <c r="AJ35" s="16">
        <f t="shared" si="22"/>
        <v>191.88674451339136</v>
      </c>
      <c r="AK35" s="17">
        <f>GBDNZ!G18/($T35+$W35+$X35+U35+V35)</f>
        <v>52.798463545779214</v>
      </c>
      <c r="AL35" s="16">
        <f t="shared" si="27"/>
        <v>53.809855200894162</v>
      </c>
      <c r="AM35" s="16">
        <f t="shared" si="27"/>
        <v>56.155102774285737</v>
      </c>
      <c r="AN35" s="16">
        <f t="shared" si="27"/>
        <v>56.155102774285737</v>
      </c>
      <c r="AO35" s="16">
        <f t="shared" si="27"/>
        <v>53.857222704755166</v>
      </c>
      <c r="AP35" s="15"/>
      <c r="AQ35" s="15"/>
      <c r="AR35" s="15"/>
      <c r="AS35" s="15"/>
      <c r="AT35" s="23"/>
      <c r="AU35" s="23"/>
      <c r="AV35" s="23"/>
      <c r="AW35" s="23"/>
    </row>
  </sheetData>
  <mergeCells count="8">
    <mergeCell ref="AF1:AJ1"/>
    <mergeCell ref="AK1:AO1"/>
    <mergeCell ref="AP1:AS1"/>
    <mergeCell ref="D1:H1"/>
    <mergeCell ref="I1:M1"/>
    <mergeCell ref="O1:S1"/>
    <mergeCell ref="T1:X1"/>
    <mergeCell ref="AA1:AE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workbookViewId="0">
      <pane xSplit="3" ySplit="2" topLeftCell="D3" activePane="bottomRight" state="frozen"/>
      <selection pane="topRight" activeCell="D1" sqref="D1"/>
      <selection pane="bottomLeft" activeCell="A3" sqref="A3"/>
      <selection pane="bottomRight" activeCell="AA6" sqref="AA6"/>
    </sheetView>
  </sheetViews>
  <sheetFormatPr defaultColWidth="9.1796875" defaultRowHeight="14.5" x14ac:dyDescent="0.35"/>
  <cols>
    <col min="1" max="1" width="5.26953125" style="10" bestFit="1" customWidth="1"/>
    <col min="2" max="2" width="3.7265625" style="10" bestFit="1" customWidth="1"/>
    <col min="3" max="3" width="5.453125" style="10" bestFit="1" customWidth="1"/>
    <col min="4" max="4" width="1.81640625" style="10" customWidth="1"/>
    <col min="5" max="5" width="2.7265625" style="10" bestFit="1" customWidth="1"/>
    <col min="6" max="6" width="2.7265625" style="10" customWidth="1"/>
    <col min="7" max="7" width="2.7265625" style="12" bestFit="1" customWidth="1"/>
    <col min="8" max="8" width="3.453125" style="12" bestFit="1" customWidth="1"/>
    <col min="9" max="9" width="1.81640625" style="10" customWidth="1"/>
    <col min="10" max="10" width="2.7265625" style="10" bestFit="1" customWidth="1"/>
    <col min="11" max="11" width="2.7265625" style="10" customWidth="1"/>
    <col min="12" max="12" width="4.81640625" style="11" customWidth="1"/>
    <col min="13" max="13" width="3.453125" style="10" bestFit="1" customWidth="1"/>
    <col min="14" max="14" width="8" style="333" customWidth="1"/>
    <col min="15" max="22" width="3.1796875" style="10" customWidth="1"/>
    <col min="23" max="23" width="4" style="11" customWidth="1"/>
    <col min="24" max="24" width="6.453125" style="11" customWidth="1"/>
    <col min="25" max="25" width="4.1796875" style="10" bestFit="1" customWidth="1"/>
    <col min="26" max="26" width="8" style="12" customWidth="1"/>
    <col min="27" max="27" width="7.1796875" style="12" bestFit="1" customWidth="1"/>
    <col min="28" max="32" width="3.453125" style="10" bestFit="1" customWidth="1"/>
    <col min="33" max="37" width="4.453125" style="10" bestFit="1" customWidth="1"/>
    <col min="38" max="42" width="3.453125" style="12" bestFit="1" customWidth="1"/>
    <col min="43" max="43" width="7.7265625" style="11" customWidth="1"/>
    <col min="44" max="44" width="5.1796875" style="10" bestFit="1" customWidth="1"/>
    <col min="45" max="45" width="5.26953125" style="10" bestFit="1" customWidth="1"/>
    <col min="46" max="46" width="6.1796875" style="10" bestFit="1" customWidth="1"/>
    <col min="47" max="47" width="5.1796875" style="10" customWidth="1"/>
    <col min="48" max="48" width="5.453125" style="10" customWidth="1"/>
    <col min="49" max="49" width="4.453125" style="10" customWidth="1"/>
    <col min="50" max="50" width="6" style="10" customWidth="1"/>
    <col min="51" max="16384" width="9.1796875" style="10"/>
  </cols>
  <sheetData>
    <row r="1" spans="1:50" s="13" customFormat="1" ht="46.5" customHeight="1" x14ac:dyDescent="0.3">
      <c r="A1" s="20"/>
      <c r="B1" s="20"/>
      <c r="C1" s="20"/>
      <c r="D1" s="1065" t="s">
        <v>56</v>
      </c>
      <c r="E1" s="1065"/>
      <c r="F1" s="1065"/>
      <c r="G1" s="1065"/>
      <c r="H1" s="1065"/>
      <c r="I1" s="1065" t="s">
        <v>55</v>
      </c>
      <c r="J1" s="1065"/>
      <c r="K1" s="1065"/>
      <c r="L1" s="1065"/>
      <c r="M1" s="1065"/>
      <c r="N1" s="331"/>
      <c r="O1" s="1065" t="s">
        <v>54</v>
      </c>
      <c r="P1" s="1065"/>
      <c r="Q1" s="1065"/>
      <c r="R1" s="1065"/>
      <c r="S1" s="1065"/>
      <c r="T1" s="1065" t="s">
        <v>52</v>
      </c>
      <c r="U1" s="1065"/>
      <c r="V1" s="1065"/>
      <c r="W1" s="1065"/>
      <c r="X1" s="1065"/>
      <c r="Y1" s="215" t="s">
        <v>74</v>
      </c>
      <c r="Z1" s="216" t="s">
        <v>73</v>
      </c>
      <c r="AA1" s="216" t="s">
        <v>132</v>
      </c>
      <c r="AB1" s="1065" t="s">
        <v>51</v>
      </c>
      <c r="AC1" s="1065"/>
      <c r="AD1" s="1065"/>
      <c r="AE1" s="1065"/>
      <c r="AF1" s="1065"/>
      <c r="AG1" s="1065" t="s">
        <v>50</v>
      </c>
      <c r="AH1" s="1065"/>
      <c r="AI1" s="1065"/>
      <c r="AJ1" s="1065"/>
      <c r="AK1" s="1065"/>
      <c r="AL1" s="1066" t="s">
        <v>49</v>
      </c>
      <c r="AM1" s="1066"/>
      <c r="AN1" s="1066"/>
      <c r="AO1" s="1066"/>
      <c r="AP1" s="1066"/>
      <c r="AQ1" s="1067" t="s">
        <v>48</v>
      </c>
      <c r="AR1" s="1067"/>
      <c r="AS1" s="1067"/>
      <c r="AT1" s="1067"/>
      <c r="AU1" s="1068"/>
      <c r="AV1" s="1068"/>
      <c r="AW1" s="1068"/>
      <c r="AX1" s="1068"/>
    </row>
    <row r="2" spans="1:50" s="23" customFormat="1" ht="37.5" customHeight="1" x14ac:dyDescent="0.3">
      <c r="A2" s="29" t="s">
        <v>47</v>
      </c>
      <c r="B2" s="29" t="s">
        <v>46</v>
      </c>
      <c r="C2" s="29" t="s">
        <v>45</v>
      </c>
      <c r="D2" s="29">
        <v>1</v>
      </c>
      <c r="E2" s="29">
        <v>2</v>
      </c>
      <c r="F2" s="29">
        <v>3</v>
      </c>
      <c r="G2" s="28">
        <v>4</v>
      </c>
      <c r="H2" s="28">
        <v>5</v>
      </c>
      <c r="I2" s="29">
        <v>1</v>
      </c>
      <c r="J2" s="29">
        <v>2</v>
      </c>
      <c r="K2" s="29">
        <v>3</v>
      </c>
      <c r="L2" s="330">
        <v>4</v>
      </c>
      <c r="M2" s="29">
        <v>5</v>
      </c>
      <c r="N2" s="332" t="s">
        <v>44</v>
      </c>
      <c r="O2" s="29">
        <v>1</v>
      </c>
      <c r="P2" s="29">
        <v>2</v>
      </c>
      <c r="Q2" s="29">
        <v>3</v>
      </c>
      <c r="R2" s="29">
        <v>4</v>
      </c>
      <c r="S2" s="29">
        <v>5</v>
      </c>
      <c r="T2" s="29">
        <v>1</v>
      </c>
      <c r="U2" s="29">
        <v>2</v>
      </c>
      <c r="V2" s="29">
        <v>3</v>
      </c>
      <c r="W2" s="29">
        <v>4</v>
      </c>
      <c r="X2" s="29">
        <v>5</v>
      </c>
      <c r="Y2" s="29"/>
      <c r="Z2" s="216"/>
      <c r="AA2" s="216"/>
      <c r="AB2" s="29">
        <v>1</v>
      </c>
      <c r="AC2" s="29">
        <v>2</v>
      </c>
      <c r="AD2" s="29">
        <v>3</v>
      </c>
      <c r="AE2" s="29">
        <v>4</v>
      </c>
      <c r="AF2" s="29">
        <v>5</v>
      </c>
      <c r="AG2" s="29">
        <v>1</v>
      </c>
      <c r="AH2" s="29">
        <v>2</v>
      </c>
      <c r="AI2" s="29">
        <v>3</v>
      </c>
      <c r="AJ2" s="29">
        <v>4</v>
      </c>
      <c r="AK2" s="29">
        <v>5</v>
      </c>
      <c r="AL2" s="28">
        <v>1</v>
      </c>
      <c r="AM2" s="28">
        <v>2</v>
      </c>
      <c r="AN2" s="28">
        <v>3</v>
      </c>
      <c r="AO2" s="28">
        <v>4</v>
      </c>
      <c r="AP2" s="28">
        <v>5</v>
      </c>
      <c r="AQ2" s="217" t="s">
        <v>43</v>
      </c>
      <c r="AR2" s="215" t="s">
        <v>42</v>
      </c>
      <c r="AS2" s="215" t="s">
        <v>41</v>
      </c>
      <c r="AT2" s="215" t="s">
        <v>28</v>
      </c>
      <c r="AU2" s="24"/>
      <c r="AV2" s="24"/>
      <c r="AW2" s="24"/>
      <c r="AX2" s="24"/>
    </row>
    <row r="3" spans="1:50" s="13" customFormat="1" ht="13" x14ac:dyDescent="0.3">
      <c r="A3" s="20">
        <v>1</v>
      </c>
      <c r="B3" s="20">
        <v>1</v>
      </c>
      <c r="C3" s="20" t="s">
        <v>2</v>
      </c>
      <c r="D3" s="17"/>
      <c r="E3" s="17"/>
      <c r="F3" s="17"/>
      <c r="G3" s="17"/>
      <c r="H3" s="17"/>
      <c r="I3" s="17"/>
      <c r="J3" s="17"/>
      <c r="K3" s="17"/>
      <c r="L3" s="19"/>
      <c r="M3" s="17"/>
      <c r="N3" s="229"/>
      <c r="O3" s="15"/>
      <c r="P3" s="15"/>
      <c r="Q3" s="15"/>
      <c r="R3" s="15"/>
      <c r="S3" s="15"/>
      <c r="T3" s="18"/>
      <c r="U3" s="18"/>
      <c r="V3" s="18"/>
      <c r="W3" s="183"/>
      <c r="X3" s="183"/>
      <c r="Y3" s="18"/>
      <c r="Z3" s="16"/>
      <c r="AA3" s="203">
        <f>'Inflammatory HD'!F3</f>
        <v>1</v>
      </c>
      <c r="AB3" s="15"/>
      <c r="AC3" s="18"/>
      <c r="AD3" s="18"/>
      <c r="AE3" s="18"/>
      <c r="AF3" s="18"/>
      <c r="AG3" s="15"/>
      <c r="AH3" s="18"/>
      <c r="AI3" s="18"/>
      <c r="AJ3" s="18"/>
      <c r="AK3" s="18"/>
      <c r="AL3" s="17"/>
      <c r="AM3" s="16"/>
      <c r="AN3" s="16"/>
      <c r="AO3" s="16"/>
      <c r="AP3" s="16"/>
      <c r="AQ3" s="17"/>
      <c r="AR3" s="17"/>
      <c r="AS3" s="17"/>
      <c r="AT3" s="17"/>
      <c r="AU3" s="22"/>
      <c r="AV3" s="22"/>
      <c r="AW3" s="22"/>
      <c r="AX3" s="22"/>
    </row>
    <row r="4" spans="1:50" s="13" customFormat="1" ht="13" x14ac:dyDescent="0.3">
      <c r="A4" s="20">
        <v>1</v>
      </c>
      <c r="B4" s="20">
        <v>1</v>
      </c>
      <c r="C4" s="20" t="s">
        <v>40</v>
      </c>
      <c r="D4" s="17"/>
      <c r="E4" s="17"/>
      <c r="F4" s="17"/>
      <c r="G4" s="17"/>
      <c r="H4" s="17"/>
      <c r="I4" s="17"/>
      <c r="J4" s="17"/>
      <c r="K4" s="17"/>
      <c r="L4" s="19"/>
      <c r="M4" s="17"/>
      <c r="N4" s="229"/>
      <c r="O4" s="15"/>
      <c r="P4" s="15"/>
      <c r="Q4" s="15"/>
      <c r="R4" s="15"/>
      <c r="S4" s="15"/>
      <c r="T4" s="18"/>
      <c r="U4" s="18"/>
      <c r="V4" s="18"/>
      <c r="W4" s="183"/>
      <c r="X4" s="183"/>
      <c r="Y4" s="18"/>
      <c r="Z4" s="16"/>
      <c r="AA4" s="30">
        <f>'Inflammatory HD'!F4</f>
        <v>1</v>
      </c>
      <c r="AB4" s="15"/>
      <c r="AC4" s="18"/>
      <c r="AD4" s="18"/>
      <c r="AE4" s="18"/>
      <c r="AF4" s="18"/>
      <c r="AG4" s="15"/>
      <c r="AH4" s="18"/>
      <c r="AI4" s="18"/>
      <c r="AJ4" s="18"/>
      <c r="AK4" s="18"/>
      <c r="AL4" s="17"/>
      <c r="AM4" s="16"/>
      <c r="AN4" s="16"/>
      <c r="AO4" s="16"/>
      <c r="AP4" s="16"/>
      <c r="AQ4" s="17"/>
      <c r="AR4" s="17"/>
      <c r="AS4" s="17"/>
      <c r="AT4" s="17"/>
      <c r="AU4" s="22"/>
      <c r="AV4" s="22"/>
      <c r="AW4" s="22"/>
      <c r="AX4" s="22"/>
    </row>
    <row r="5" spans="1:50" s="13" customFormat="1" ht="13" x14ac:dyDescent="0.3">
      <c r="A5" s="20">
        <v>1</v>
      </c>
      <c r="B5" s="20">
        <v>1</v>
      </c>
      <c r="C5" s="20" t="s">
        <v>39</v>
      </c>
      <c r="D5" s="17">
        <f>Scenario!AN21</f>
        <v>0.37339203160199785</v>
      </c>
      <c r="E5" s="17">
        <f>Scenario!AO21</f>
        <v>0.89041070258950428</v>
      </c>
      <c r="F5" s="17">
        <f>Scenario!AP21</f>
        <v>1.6255263073807924</v>
      </c>
      <c r="G5" s="17">
        <f>Scenario!AQ21</f>
        <v>2.9675471872727468</v>
      </c>
      <c r="H5" s="17">
        <f>Scenario!AR21</f>
        <v>7.0765724824131357</v>
      </c>
      <c r="I5" s="17">
        <f t="shared" ref="I5:I10" si="0">IF(D5&gt;2.5,D5,0.1)</f>
        <v>0.1</v>
      </c>
      <c r="J5" s="17">
        <f t="shared" ref="J5:M18" si="1">IF(E5&gt;2.5,E5,0.1)</f>
        <v>0.1</v>
      </c>
      <c r="K5" s="17">
        <f t="shared" si="1"/>
        <v>0.1</v>
      </c>
      <c r="L5" s="19">
        <f t="shared" si="1"/>
        <v>2.9675471872727468</v>
      </c>
      <c r="M5" s="17">
        <f t="shared" si="1"/>
        <v>7.0765724824131357</v>
      </c>
      <c r="N5" s="229">
        <f>'Phy activity RRs'!$G$4</f>
        <v>0.93831941951583364</v>
      </c>
      <c r="O5" s="15">
        <f>IF(('user page'!$R$36=0),$N5^(I5^0.25),IF(('user page'!$R$36=1),$N5^(I5^0.5),IF(('user page'!$R$36=2),$N5^(I5^0.375),IF(('user page'!$R$36=4),$N5^(I5),IF(('user page'!$R$36=3),$N5^(LN(1+I5)),"")))))</f>
        <v>0.98006871247951299</v>
      </c>
      <c r="P5" s="15">
        <f>IF(('user page'!$R$36=0),$N5^(J5^0.25),IF(('user page'!$R$36=1),$N5^(J5^0.5),IF(('user page'!$R$36=2),$N5^(J5^0.375),IF(('user page'!$R$36=4),$N5^(J5),IF(('user page'!$R$36=3),$N5^(LN(1+J5)),"")))))</f>
        <v>0.98006871247951299</v>
      </c>
      <c r="Q5" s="15">
        <f>IF(('user page'!$R$36=0),$N5^(K5^0.25),IF(('user page'!$R$36=1),$N5^(K5^0.5),IF(('user page'!$R$36=2),$N5^(K5^0.375),IF(('user page'!$R$36=4),$N5^(K5),IF(('user page'!$R$36=3),$N5^(LN(1+K5)),"")))))</f>
        <v>0.98006871247951299</v>
      </c>
      <c r="R5" s="15">
        <f>IF(('user page'!$R$36=0),$N5^(L5^0.25),IF(('user page'!$R$36=1),$N5^(L5^0.5),IF(('user page'!$R$36=2),$N5^(L5^0.375),IF(('user page'!$R$36=4),$N5^(L5),IF(('user page'!$R$36=3),$N5^(LN(1+L5)),"")))))</f>
        <v>0.89612738109796275</v>
      </c>
      <c r="S5" s="15">
        <f>IF(('user page'!$R$36=0),$N5^(M5^0.25),IF(('user page'!$R$36=1),$N5^(M5^0.5),IF(('user page'!$R$36=2),$N5^(M5^0.375),IF(('user page'!$R$36=4),$N5^(M5),IF(('user page'!$R$36=3),$N5^(LN(1+M5)),"")))))</f>
        <v>0.84420480593211289</v>
      </c>
      <c r="T5" s="18">
        <f t="shared" ref="T5:X10" si="2">O5/$O5</f>
        <v>1</v>
      </c>
      <c r="U5" s="18">
        <f t="shared" si="2"/>
        <v>1</v>
      </c>
      <c r="V5" s="18">
        <f t="shared" si="2"/>
        <v>1</v>
      </c>
      <c r="W5" s="183">
        <f t="shared" si="2"/>
        <v>0.91435158544222483</v>
      </c>
      <c r="X5" s="183">
        <f t="shared" si="2"/>
        <v>0.86137308046119254</v>
      </c>
      <c r="Y5" s="30">
        <f>1-Z5</f>
        <v>-1.2624560306744304E-3</v>
      </c>
      <c r="Z5" s="269">
        <f t="shared" ref="Z5:Z10" si="3">SUM(O5:S5)/SUM(O22:S22)</f>
        <v>1.0012624560306744</v>
      </c>
      <c r="AA5" s="269">
        <v>1</v>
      </c>
      <c r="AB5" s="17">
        <f>Z5*AA5*GBDNZ!$E56/($T5+$U5+$X5+V5+W5)</f>
        <v>0.76217796737058752</v>
      </c>
      <c r="AC5" s="16">
        <f t="shared" ref="AC5:AF10" si="4">$AB5*U5</f>
        <v>0.76217796737058752</v>
      </c>
      <c r="AD5" s="16">
        <f t="shared" si="4"/>
        <v>0.76217796737058752</v>
      </c>
      <c r="AE5" s="16">
        <f t="shared" si="4"/>
        <v>0.69689863285442899</v>
      </c>
      <c r="AF5" s="16">
        <f t="shared" si="4"/>
        <v>0.65651958361365326</v>
      </c>
      <c r="AG5" s="17">
        <f>Z5*AA5*GBDNZ!$F56/($T5+$U5+$X5+V5+W5)</f>
        <v>47.131027767858981</v>
      </c>
      <c r="AH5" s="16">
        <f t="shared" ref="AH5:AK10" si="5">$AG5*U5</f>
        <v>47.131027767858981</v>
      </c>
      <c r="AI5" s="16">
        <f t="shared" si="5"/>
        <v>47.131027767858981</v>
      </c>
      <c r="AJ5" s="16">
        <f t="shared" si="5"/>
        <v>43.09432996306338</v>
      </c>
      <c r="AK5" s="16">
        <f t="shared" si="5"/>
        <v>40.597398573702691</v>
      </c>
      <c r="AL5" s="17">
        <f>Z5*GBDNZ!$G56/($T5+$U5+$X5+V5+W5)</f>
        <v>0.22233017699708496</v>
      </c>
      <c r="AM5" s="16">
        <f t="shared" ref="AM5:AP10" si="6">$AL5*U5</f>
        <v>0.22233017699708496</v>
      </c>
      <c r="AN5" s="16">
        <f t="shared" si="6"/>
        <v>0.22233017699708496</v>
      </c>
      <c r="AO5" s="16">
        <f t="shared" si="6"/>
        <v>0.20328794982893511</v>
      </c>
      <c r="AP5" s="16">
        <f t="shared" si="6"/>
        <v>0.19150922943946125</v>
      </c>
      <c r="AQ5" s="17">
        <f>AB5+AC5+AF5+AD5+AE5-AD22-AE22-AB22-AC22-AF22</f>
        <v>4.5894854798450568E-3</v>
      </c>
      <c r="AR5" s="17">
        <f>AG5+AH5+AK5+AI5+AJ5-AI22-AJ22-AH22-AK22-AG22</f>
        <v>0.28380139134305438</v>
      </c>
      <c r="AS5" s="17">
        <f>AL5+AM5+AP5-AL22+AN5+AO5-AN22-AO22-AM22-AP22</f>
        <v>1.3387701596512536E-3</v>
      </c>
      <c r="AT5" s="17">
        <f t="shared" ref="AT5:AT10" si="7">AR5+AS5</f>
        <v>0.2851401615027056</v>
      </c>
      <c r="AU5" s="22"/>
      <c r="AV5" s="22"/>
      <c r="AW5" s="22"/>
      <c r="AX5" s="22"/>
    </row>
    <row r="6" spans="1:50" s="13" customFormat="1" ht="13" x14ac:dyDescent="0.3">
      <c r="A6" s="20">
        <v>1</v>
      </c>
      <c r="B6" s="20">
        <v>1</v>
      </c>
      <c r="C6" s="20" t="s">
        <v>38</v>
      </c>
      <c r="D6" s="17">
        <f>Scenario!AN22</f>
        <v>0.24273184972454737</v>
      </c>
      <c r="E6" s="17">
        <f>Scenario!AO22</f>
        <v>0.57883141192595211</v>
      </c>
      <c r="F6" s="17">
        <f>Scenario!AP22</f>
        <v>1.0567097687478921</v>
      </c>
      <c r="G6" s="17">
        <f>Scenario!AQ22</f>
        <v>1.9291204871757561</v>
      </c>
      <c r="H6" s="17">
        <f>Scenario!AR22</f>
        <v>4.600284374029961</v>
      </c>
      <c r="I6" s="17">
        <f t="shared" si="0"/>
        <v>0.1</v>
      </c>
      <c r="J6" s="17">
        <f t="shared" si="1"/>
        <v>0.1</v>
      </c>
      <c r="K6" s="17">
        <f t="shared" si="1"/>
        <v>0.1</v>
      </c>
      <c r="L6" s="19">
        <f t="shared" si="1"/>
        <v>0.1</v>
      </c>
      <c r="M6" s="17">
        <f t="shared" si="1"/>
        <v>4.600284374029961</v>
      </c>
      <c r="N6" s="229">
        <f>'Phy activity RRs'!$G$4</f>
        <v>0.93831941951583364</v>
      </c>
      <c r="O6" s="15">
        <f>IF(('user page'!$R$36=0),$N6^(I6^0.25),IF(('user page'!$R$36=1),$N6^(I6^0.5),IF(('user page'!$R$36=2),$N6^(I6^0.375),IF(('user page'!$R$36=4),$N6^(I6),IF(('user page'!$R$36=3),$N6^(LN(1+I6)),"")))))</f>
        <v>0.98006871247951299</v>
      </c>
      <c r="P6" s="15">
        <f>IF(('user page'!$R$36=0),$N6^(J6^0.25),IF(('user page'!$R$36=1),$N6^(J6^0.5),IF(('user page'!$R$36=2),$N6^(J6^0.375),IF(('user page'!$R$36=4),$N6^(J6),IF(('user page'!$R$36=3),$N6^(LN(1+J6)),"")))))</f>
        <v>0.98006871247951299</v>
      </c>
      <c r="Q6" s="15">
        <f>IF(('user page'!$R$36=0),$N6^(K6^0.25),IF(('user page'!$R$36=1),$N6^(K6^0.5),IF(('user page'!$R$36=2),$N6^(K6^0.375),IF(('user page'!$R$36=4),$N6^(K6),IF(('user page'!$R$36=3),$N6^(LN(1+K6)),"")))))</f>
        <v>0.98006871247951299</v>
      </c>
      <c r="R6" s="15">
        <f>IF(('user page'!$R$36=0),$N6^(L6^0.25),IF(('user page'!$R$36=1),$N6^(L6^0.5),IF(('user page'!$R$36=2),$N6^(L6^0.375),IF(('user page'!$R$36=4),$N6^(L6),IF(('user page'!$R$36=3),$N6^(LN(1+L6)),"")))))</f>
        <v>0.98006871247951299</v>
      </c>
      <c r="S6" s="15">
        <f>IF(('user page'!$R$36=0),$N6^(M6^0.25),IF(('user page'!$R$36=1),$N6^(M6^0.5),IF(('user page'!$R$36=2),$N6^(M6^0.375),IF(('user page'!$R$36=4),$N6^(M6),IF(('user page'!$R$36=3),$N6^(LN(1+M6)),"")))))</f>
        <v>0.87236259346454292</v>
      </c>
      <c r="T6" s="18">
        <f t="shared" si="2"/>
        <v>1</v>
      </c>
      <c r="U6" s="18">
        <f t="shared" si="2"/>
        <v>1</v>
      </c>
      <c r="V6" s="18">
        <f t="shared" si="2"/>
        <v>1</v>
      </c>
      <c r="W6" s="183">
        <f t="shared" si="2"/>
        <v>1</v>
      </c>
      <c r="X6" s="324">
        <f t="shared" si="2"/>
        <v>0.89010350229171153</v>
      </c>
      <c r="Y6" s="30">
        <f t="shared" ref="Y6:Y18" si="8">1-Z6</f>
        <v>-3.860908991619727E-4</v>
      </c>
      <c r="Z6" s="269">
        <f t="shared" si="3"/>
        <v>1.000386090899162</v>
      </c>
      <c r="AA6" s="269">
        <f>'Inflammatory HD'!F6</f>
        <v>1</v>
      </c>
      <c r="AB6" s="17">
        <f>Z6*AA6*GBDNZ!$E57/($T6+$U6+$X6+V6+W6)</f>
        <v>12.231463018550663</v>
      </c>
      <c r="AC6" s="16">
        <f t="shared" si="4"/>
        <v>12.231463018550663</v>
      </c>
      <c r="AD6" s="16">
        <f t="shared" si="4"/>
        <v>12.231463018550663</v>
      </c>
      <c r="AE6" s="16">
        <f t="shared" si="4"/>
        <v>12.231463018550663</v>
      </c>
      <c r="AF6" s="16">
        <f t="shared" si="4"/>
        <v>10.887268070963495</v>
      </c>
      <c r="AG6" s="17">
        <f>Z6*AA6*GBDNZ!$F57/($T6+$U6+$X6+V6+W6)</f>
        <v>573.44738466598051</v>
      </c>
      <c r="AH6" s="16">
        <f t="shared" si="5"/>
        <v>573.44738466598051</v>
      </c>
      <c r="AI6" s="16">
        <f t="shared" si="5"/>
        <v>573.44738466598051</v>
      </c>
      <c r="AJ6" s="16">
        <f t="shared" si="5"/>
        <v>573.44738466598051</v>
      </c>
      <c r="AK6" s="16">
        <f t="shared" si="5"/>
        <v>510.42752547121154</v>
      </c>
      <c r="AL6" s="17">
        <f>Z6*GBDNZ!$G57/($T6+$U6+$X6+V6+W6)</f>
        <v>2.7511478072745863</v>
      </c>
      <c r="AM6" s="16">
        <f t="shared" si="6"/>
        <v>2.7511478072745863</v>
      </c>
      <c r="AN6" s="16">
        <f t="shared" si="6"/>
        <v>2.7511478072745863</v>
      </c>
      <c r="AO6" s="16">
        <f t="shared" si="6"/>
        <v>2.7511478072745863</v>
      </c>
      <c r="AP6" s="16">
        <f t="shared" si="6"/>
        <v>2.4488062985772721</v>
      </c>
      <c r="AQ6" s="17">
        <f t="shared" ref="AQ6:AQ18" si="9">AB6+AC6+AF6+AD6+AE6-AD23-AE23-AB23-AC23-AF23</f>
        <v>2.3084388666147149E-2</v>
      </c>
      <c r="AR6" s="17">
        <f t="shared" ref="AR6:AR18" si="10">AG6+AH6+AK6+AI6+AJ6-AI23-AJ23-AH23-AK23-AG23</f>
        <v>1.082264835133401</v>
      </c>
      <c r="AS6" s="17">
        <f t="shared" ref="AS6:AS18" si="11">AL6+AM6+AP6-AL23+AN6+AO6-AN23-AO23-AM23-AP23</f>
        <v>5.1922296756186093E-3</v>
      </c>
      <c r="AT6" s="17">
        <f t="shared" si="7"/>
        <v>1.0874570648090196</v>
      </c>
      <c r="AU6" s="22"/>
      <c r="AV6" s="22"/>
      <c r="AW6" s="22"/>
      <c r="AX6" s="22"/>
    </row>
    <row r="7" spans="1:50" s="13" customFormat="1" ht="13" x14ac:dyDescent="0.3">
      <c r="A7" s="20">
        <v>1</v>
      </c>
      <c r="B7" s="20">
        <v>1</v>
      </c>
      <c r="C7" s="20" t="s">
        <v>37</v>
      </c>
      <c r="D7" s="17">
        <f>Scenario!AN23</f>
        <v>0.44101223863405448</v>
      </c>
      <c r="E7" s="17">
        <f>Scenario!AO23</f>
        <v>1.0516614818156649</v>
      </c>
      <c r="F7" s="17">
        <f>Scenario!AP23</f>
        <v>1.9199043769114967</v>
      </c>
      <c r="G7" s="17">
        <f>Scenario!AQ23</f>
        <v>3.5049613209376891</v>
      </c>
      <c r="H7" s="17">
        <f>Scenario!AR23</f>
        <v>8.3581191032263789</v>
      </c>
      <c r="I7" s="17">
        <f t="shared" si="0"/>
        <v>0.1</v>
      </c>
      <c r="J7" s="17">
        <f t="shared" si="1"/>
        <v>0.1</v>
      </c>
      <c r="K7" s="17">
        <f t="shared" si="1"/>
        <v>0.1</v>
      </c>
      <c r="L7" s="19">
        <f t="shared" si="1"/>
        <v>3.5049613209376891</v>
      </c>
      <c r="M7" s="17">
        <f t="shared" si="1"/>
        <v>8.3581191032263789</v>
      </c>
      <c r="N7" s="229">
        <f>'Phy activity RRs'!$G$4</f>
        <v>0.93831941951583364</v>
      </c>
      <c r="O7" s="15">
        <f>IF(('user page'!$R$36=0),$N7^(I7^0.25),IF(('user page'!$R$36=1),$N7^(I7^0.5),IF(('user page'!$R$36=2),$N7^(I7^0.375),IF(('user page'!$R$36=4),$N7^(I7),IF(('user page'!$R$36=3),$N7^(LN(1+I7)),"")))))</f>
        <v>0.98006871247951299</v>
      </c>
      <c r="P7" s="15">
        <f>IF(('user page'!$R$36=0),$N7^(J7^0.25),IF(('user page'!$R$36=1),$N7^(J7^0.5),IF(('user page'!$R$36=2),$N7^(J7^0.375),IF(('user page'!$R$36=4),$N7^(J7),IF(('user page'!$R$36=3),$N7^(LN(1+J7)),"")))))</f>
        <v>0.98006871247951299</v>
      </c>
      <c r="Q7" s="15">
        <f>IF(('user page'!$R$36=0),$N7^(K7^0.25),IF(('user page'!$R$36=1),$N7^(K7^0.5),IF(('user page'!$R$36=2),$N7^(K7^0.375),IF(('user page'!$R$36=4),$N7^(K7),IF(('user page'!$R$36=3),$N7^(LN(1+K7)),"")))))</f>
        <v>0.98006871247951299</v>
      </c>
      <c r="R7" s="15">
        <f>IF(('user page'!$R$36=0),$N7^(L7^0.25),IF(('user page'!$R$36=1),$N7^(L7^0.5),IF(('user page'!$R$36=2),$N7^(L7^0.375),IF(('user page'!$R$36=4),$N7^(L7),IF(('user page'!$R$36=3),$N7^(LN(1+L7)),"")))))</f>
        <v>0.8876387551870274</v>
      </c>
      <c r="S7" s="15">
        <f>IF(('user page'!$R$36=0),$N7^(M7^0.25),IF(('user page'!$R$36=1),$N7^(M7^0.5),IF(('user page'!$R$36=2),$N7^(M7^0.375),IF(('user page'!$R$36=4),$N7^(M7),IF(('user page'!$R$36=3),$N7^(LN(1+M7)),"")))))</f>
        <v>0.83188778696046084</v>
      </c>
      <c r="T7" s="18">
        <f t="shared" si="2"/>
        <v>1</v>
      </c>
      <c r="U7" s="18">
        <f t="shared" si="2"/>
        <v>1</v>
      </c>
      <c r="V7" s="18">
        <f t="shared" si="2"/>
        <v>1</v>
      </c>
      <c r="W7" s="183">
        <f t="shared" si="2"/>
        <v>0.90569032954980933</v>
      </c>
      <c r="X7" s="324">
        <f t="shared" si="2"/>
        <v>0.84880557492324837</v>
      </c>
      <c r="Y7" s="30">
        <f t="shared" si="8"/>
        <v>-2.2313846765209533E-4</v>
      </c>
      <c r="Z7" s="269">
        <f t="shared" si="3"/>
        <v>1.0002231384676521</v>
      </c>
      <c r="AA7" s="269">
        <f>'Inflammatory HD'!F7</f>
        <v>1</v>
      </c>
      <c r="AB7" s="17">
        <f>Z7*AA7*GBDNZ!$E58/($T7+$U7+$X7+V7+W7)</f>
        <v>76.731508648144953</v>
      </c>
      <c r="AC7" s="16">
        <f t="shared" si="4"/>
        <v>76.731508648144953</v>
      </c>
      <c r="AD7" s="16">
        <f t="shared" si="4"/>
        <v>76.731508648144953</v>
      </c>
      <c r="AE7" s="16">
        <f t="shared" si="4"/>
        <v>69.494985354392441</v>
      </c>
      <c r="AF7" s="16">
        <f t="shared" si="4"/>
        <v>65.130132312816883</v>
      </c>
      <c r="AG7" s="17">
        <f>Z7*AA7*GBDNZ!$F58/($T7+$U7+$X7+V7+W7)</f>
        <v>2614.5519810786559</v>
      </c>
      <c r="AH7" s="16">
        <f t="shared" si="5"/>
        <v>2614.5519810786559</v>
      </c>
      <c r="AI7" s="16">
        <f t="shared" si="5"/>
        <v>2614.5519810786559</v>
      </c>
      <c r="AJ7" s="16">
        <f t="shared" si="5"/>
        <v>2367.9744453682347</v>
      </c>
      <c r="AK7" s="16">
        <f t="shared" si="5"/>
        <v>2219.2462974661867</v>
      </c>
      <c r="AL7" s="17">
        <f>Z7*GBDNZ!$G58/($T7+$U7+$X7+V7+W7)</f>
        <v>84.355315551331671</v>
      </c>
      <c r="AM7" s="16">
        <f t="shared" si="6"/>
        <v>84.355315551331671</v>
      </c>
      <c r="AN7" s="16">
        <f t="shared" si="6"/>
        <v>84.355315551331671</v>
      </c>
      <c r="AO7" s="16">
        <f t="shared" si="6"/>
        <v>76.399793540963742</v>
      </c>
      <c r="AP7" s="16">
        <f t="shared" si="6"/>
        <v>71.60126211438012</v>
      </c>
      <c r="AQ7" s="17">
        <f t="shared" si="9"/>
        <v>8.1387135644149566E-2</v>
      </c>
      <c r="AR7" s="17">
        <f t="shared" si="10"/>
        <v>2.7731879703878803</v>
      </c>
      <c r="AS7" s="17">
        <f t="shared" si="11"/>
        <v>8.9473511338908907E-2</v>
      </c>
      <c r="AT7" s="17">
        <f t="shared" si="7"/>
        <v>2.8626614817267892</v>
      </c>
      <c r="AU7" s="22"/>
      <c r="AV7" s="22"/>
      <c r="AW7" s="22"/>
      <c r="AX7" s="22"/>
    </row>
    <row r="8" spans="1:50" s="13" customFormat="1" ht="13" x14ac:dyDescent="0.3">
      <c r="A8" s="20">
        <v>1</v>
      </c>
      <c r="B8" s="20">
        <v>1</v>
      </c>
      <c r="C8" s="20" t="s">
        <v>36</v>
      </c>
      <c r="D8" s="17">
        <f>Scenario!AN24</f>
        <v>0.39571511265083242</v>
      </c>
      <c r="E8" s="17">
        <f>Scenario!AO24</f>
        <v>0.94364352117798989</v>
      </c>
      <c r="F8" s="17">
        <f>Scenario!AP24</f>
        <v>1.7227076943294906</v>
      </c>
      <c r="G8" s="17">
        <f>Scenario!AQ24</f>
        <v>3.1449607118557816</v>
      </c>
      <c r="H8" s="17">
        <f>Scenario!AR24</f>
        <v>7.4996423063595765</v>
      </c>
      <c r="I8" s="17">
        <f t="shared" si="0"/>
        <v>0.1</v>
      </c>
      <c r="J8" s="17">
        <f t="shared" si="1"/>
        <v>0.1</v>
      </c>
      <c r="K8" s="17">
        <f t="shared" si="1"/>
        <v>0.1</v>
      </c>
      <c r="L8" s="19">
        <f t="shared" si="1"/>
        <v>3.1449607118557816</v>
      </c>
      <c r="M8" s="17">
        <f t="shared" si="1"/>
        <v>7.4996423063595765</v>
      </c>
      <c r="N8" s="229">
        <f>'Phy activity RRs'!$G$4</f>
        <v>0.93831941951583364</v>
      </c>
      <c r="O8" s="15">
        <f>IF(('user page'!$R$36=0),$N8^(I8^0.25),IF(('user page'!$R$36=1),$N8^(I8^0.5),IF(('user page'!$R$36=2),$N8^(I8^0.375),IF(('user page'!$R$36=4),$N8^(I8),IF(('user page'!$R$36=3),$N8^(LN(1+I8)),"")))))</f>
        <v>0.98006871247951299</v>
      </c>
      <c r="P8" s="15">
        <f>IF(('user page'!$R$36=0),$N8^(J8^0.25),IF(('user page'!$R$36=1),$N8^(J8^0.5),IF(('user page'!$R$36=2),$N8^(J8^0.375),IF(('user page'!$R$36=4),$N8^(J8),IF(('user page'!$R$36=3),$N8^(LN(1+J8)),"")))))</f>
        <v>0.98006871247951299</v>
      </c>
      <c r="Q8" s="15">
        <f>IF(('user page'!$R$36=0),$N8^(K8^0.25),IF(('user page'!$R$36=1),$N8^(K8^0.5),IF(('user page'!$R$36=2),$N8^(K8^0.375),IF(('user page'!$R$36=4),$N8^(K8),IF(('user page'!$R$36=3),$N8^(LN(1+K8)),"")))))</f>
        <v>0.98006871247951299</v>
      </c>
      <c r="R8" s="15">
        <f>IF(('user page'!$R$36=0),$N8^(L8^0.25),IF(('user page'!$R$36=1),$N8^(L8^0.5),IF(('user page'!$R$36=2),$N8^(L8^0.375),IF(('user page'!$R$36=4),$N8^(L8),IF(('user page'!$R$36=3),$N8^(LN(1+L8)),"")))))</f>
        <v>0.89323686165556937</v>
      </c>
      <c r="S8" s="15">
        <f>IF(('user page'!$R$36=0),$N8^(M8^0.25),IF(('user page'!$R$36=1),$N8^(M8^0.5),IF(('user page'!$R$36=2),$N8^(M8^0.375),IF(('user page'!$R$36=4),$N8^(M8),IF(('user page'!$R$36=3),$N8^(LN(1+M8)),"")))))</f>
        <v>0.84000349249437722</v>
      </c>
      <c r="T8" s="18">
        <f t="shared" si="2"/>
        <v>1</v>
      </c>
      <c r="U8" s="18">
        <f t="shared" si="2"/>
        <v>1</v>
      </c>
      <c r="V8" s="18">
        <f t="shared" si="2"/>
        <v>1</v>
      </c>
      <c r="W8" s="183">
        <f t="shared" si="2"/>
        <v>0.91140228259683509</v>
      </c>
      <c r="X8" s="324">
        <f t="shared" si="2"/>
        <v>0.85708632649768046</v>
      </c>
      <c r="Y8" s="30">
        <f t="shared" si="8"/>
        <v>-1.743029296366494E-3</v>
      </c>
      <c r="Z8" s="269">
        <f t="shared" si="3"/>
        <v>1.0017430292963665</v>
      </c>
      <c r="AA8" s="269">
        <f>'Inflammatory HD'!F8</f>
        <v>1</v>
      </c>
      <c r="AB8" s="17">
        <f>Z8*AA8*GBDNZ!$E59/($T8+$U8+$X8+V8+W8)</f>
        <v>124.39921171495082</v>
      </c>
      <c r="AC8" s="16">
        <f t="shared" si="4"/>
        <v>124.39921171495082</v>
      </c>
      <c r="AD8" s="16">
        <f t="shared" si="4"/>
        <v>124.39921171495082</v>
      </c>
      <c r="AE8" s="16">
        <f t="shared" si="4"/>
        <v>113.37772551025313</v>
      </c>
      <c r="AF8" s="16">
        <f t="shared" si="4"/>
        <v>106.62086338797442</v>
      </c>
      <c r="AG8" s="17">
        <f>Z8*AA8*GBDNZ!$F59/($T8+$U8+$X8+V8+W8)</f>
        <v>2927.2590731912364</v>
      </c>
      <c r="AH8" s="16">
        <f t="shared" si="5"/>
        <v>2927.2590731912364</v>
      </c>
      <c r="AI8" s="16">
        <f t="shared" si="5"/>
        <v>2927.2590731912364</v>
      </c>
      <c r="AJ8" s="16">
        <f t="shared" si="5"/>
        <v>2667.9106010587889</v>
      </c>
      <c r="AK8" s="16">
        <f t="shared" si="5"/>
        <v>2508.9137257484817</v>
      </c>
      <c r="AL8" s="17">
        <f>Z8*GBDNZ!$G59/($T8+$U8+$X8+V8+W8)</f>
        <v>173.96152189809899</v>
      </c>
      <c r="AM8" s="16">
        <f t="shared" si="6"/>
        <v>173.96152189809899</v>
      </c>
      <c r="AN8" s="16">
        <f t="shared" si="6"/>
        <v>173.96152189809899</v>
      </c>
      <c r="AO8" s="16">
        <f t="shared" si="6"/>
        <v>158.54892814194673</v>
      </c>
      <c r="AP8" s="16">
        <f t="shared" si="6"/>
        <v>149.10004175558745</v>
      </c>
      <c r="AQ8" s="17">
        <f t="shared" si="9"/>
        <v>1.0321593130799869</v>
      </c>
      <c r="AR8" s="17">
        <f t="shared" si="10"/>
        <v>24.287916880977264</v>
      </c>
      <c r="AS8" s="17">
        <f t="shared" si="11"/>
        <v>1.4433853918311002</v>
      </c>
      <c r="AT8" s="17">
        <f t="shared" si="7"/>
        <v>25.731302272808364</v>
      </c>
      <c r="AU8" s="22"/>
      <c r="AV8" s="22"/>
      <c r="AW8" s="22"/>
      <c r="AX8" s="22"/>
    </row>
    <row r="9" spans="1:50" s="13" customFormat="1" ht="13" x14ac:dyDescent="0.3">
      <c r="A9" s="20">
        <v>1</v>
      </c>
      <c r="B9" s="20">
        <v>1</v>
      </c>
      <c r="C9" s="20" t="s">
        <v>35</v>
      </c>
      <c r="D9" s="17">
        <f>Scenario!AN25</f>
        <v>0.48300262725816756</v>
      </c>
      <c r="E9" s="17">
        <f>Scenario!AO25</f>
        <v>1.1517940188609537</v>
      </c>
      <c r="F9" s="17">
        <f>Scenario!AP25</f>
        <v>2.1027054963483303</v>
      </c>
      <c r="G9" s="17">
        <f>Scenario!AQ25</f>
        <v>3.8386815107321977</v>
      </c>
      <c r="H9" s="17">
        <f>Scenario!AR25</f>
        <v>9.1539262000954498</v>
      </c>
      <c r="I9" s="17">
        <f t="shared" si="0"/>
        <v>0.1</v>
      </c>
      <c r="J9" s="17">
        <f t="shared" si="1"/>
        <v>0.1</v>
      </c>
      <c r="K9" s="17">
        <f t="shared" si="1"/>
        <v>0.1</v>
      </c>
      <c r="L9" s="19">
        <f t="shared" si="1"/>
        <v>3.8386815107321977</v>
      </c>
      <c r="M9" s="17">
        <f t="shared" si="1"/>
        <v>9.1539262000954498</v>
      </c>
      <c r="N9" s="229">
        <f>'Phy activity RRs'!$G$4</f>
        <v>0.93831941951583364</v>
      </c>
      <c r="O9" s="15">
        <f>IF(('user page'!$R$36=0),$N9^(I9^0.25),IF(('user page'!$R$36=1),$N9^(I9^0.5),IF(('user page'!$R$36=2),$N9^(I9^0.375),IF(('user page'!$R$36=4),$N9^(I9),IF(('user page'!$R$36=3),$N9^(LN(1+I9)),"")))))</f>
        <v>0.98006871247951299</v>
      </c>
      <c r="P9" s="15">
        <f>IF(('user page'!$R$36=0),$N9^(J9^0.25),IF(('user page'!$R$36=1),$N9^(J9^0.5),IF(('user page'!$R$36=2),$N9^(J9^0.375),IF(('user page'!$R$36=4),$N9^(J9),IF(('user page'!$R$36=3),$N9^(LN(1+J9)),"")))))</f>
        <v>0.98006871247951299</v>
      </c>
      <c r="Q9" s="15">
        <f>IF(('user page'!$R$36=0),$N9^(K9^0.25),IF(('user page'!$R$36=1),$N9^(K9^0.5),IF(('user page'!$R$36=2),$N9^(K9^0.375),IF(('user page'!$R$36=4),$N9^(K9),IF(('user page'!$R$36=3),$N9^(LN(1+K9)),"")))))</f>
        <v>0.98006871247951299</v>
      </c>
      <c r="R9" s="15">
        <f>IF(('user page'!$R$36=0),$N9^(L9^0.25),IF(('user page'!$R$36=1),$N9^(L9^0.5),IF(('user page'!$R$36=2),$N9^(L9^0.375),IF(('user page'!$R$36=4),$N9^(L9),IF(('user page'!$R$36=3),$N9^(LN(1+L9)),"")))))</f>
        <v>0.88273017000203557</v>
      </c>
      <c r="S9" s="15">
        <f>IF(('user page'!$R$36=0),$N9^(M9^0.25),IF(('user page'!$R$36=1),$N9^(M9^0.5),IF(('user page'!$R$36=2),$N9^(M9^0.375),IF(('user page'!$R$36=4),$N9^(M9),IF(('user page'!$R$36=3),$N9^(LN(1+M9)),"")))))</f>
        <v>0.82479457520918198</v>
      </c>
      <c r="T9" s="18">
        <f t="shared" si="2"/>
        <v>1</v>
      </c>
      <c r="U9" s="18">
        <f t="shared" si="2"/>
        <v>1</v>
      </c>
      <c r="V9" s="18">
        <f t="shared" si="2"/>
        <v>1</v>
      </c>
      <c r="W9" s="183">
        <f t="shared" si="2"/>
        <v>0.9006819203204468</v>
      </c>
      <c r="X9" s="324">
        <f t="shared" si="2"/>
        <v>0.84156811120161457</v>
      </c>
      <c r="Y9" s="30">
        <f t="shared" si="8"/>
        <v>-1.7486522416583217E-3</v>
      </c>
      <c r="Z9" s="269">
        <f t="shared" si="3"/>
        <v>1.0017486522416583</v>
      </c>
      <c r="AA9" s="269">
        <f>'Inflammatory HD'!F9</f>
        <v>1</v>
      </c>
      <c r="AB9" s="17">
        <f>Z9*AA9*GBDNZ!$E60/($T9+$U9+$X9+V9+W9)</f>
        <v>178.88987486727558</v>
      </c>
      <c r="AC9" s="16">
        <f t="shared" si="4"/>
        <v>178.88987486727558</v>
      </c>
      <c r="AD9" s="16">
        <f t="shared" si="4"/>
        <v>178.88987486727558</v>
      </c>
      <c r="AE9" s="16">
        <f t="shared" si="4"/>
        <v>161.12287602134219</v>
      </c>
      <c r="AF9" s="16">
        <f t="shared" si="4"/>
        <v>150.54801410514628</v>
      </c>
      <c r="AG9" s="17">
        <f>Z9*AA9*GBDNZ!$F60/($T9+$U9+$X9+V9+W9)</f>
        <v>2690.3202427371384</v>
      </c>
      <c r="AH9" s="16">
        <f t="shared" si="5"/>
        <v>2690.3202427371384</v>
      </c>
      <c r="AI9" s="16">
        <f t="shared" si="5"/>
        <v>2690.3202427371384</v>
      </c>
      <c r="AJ9" s="16">
        <f t="shared" si="5"/>
        <v>2423.1228025054565</v>
      </c>
      <c r="AK9" s="16">
        <f t="shared" si="5"/>
        <v>2264.087725207763</v>
      </c>
      <c r="AL9" s="17">
        <f>Z9*GBDNZ!$G60/($T9+$U9+$X9+V9+W9)</f>
        <v>148.16555926440762</v>
      </c>
      <c r="AM9" s="16">
        <f t="shared" si="6"/>
        <v>148.16555926440762</v>
      </c>
      <c r="AN9" s="16">
        <f t="shared" si="6"/>
        <v>148.16555926440762</v>
      </c>
      <c r="AO9" s="16">
        <f t="shared" si="6"/>
        <v>133.45004044361963</v>
      </c>
      <c r="AP9" s="16">
        <f t="shared" si="6"/>
        <v>124.69140985527841</v>
      </c>
      <c r="AQ9" s="17">
        <f t="shared" si="9"/>
        <v>1.4808630283151274</v>
      </c>
      <c r="AR9" s="17">
        <f t="shared" si="10"/>
        <v>22.270661124634898</v>
      </c>
      <c r="AS9" s="17">
        <f t="shared" si="11"/>
        <v>1.2265249721209841</v>
      </c>
      <c r="AT9" s="17">
        <f t="shared" si="7"/>
        <v>23.497186096755883</v>
      </c>
      <c r="AU9" s="22"/>
      <c r="AV9" s="22"/>
      <c r="AW9" s="22"/>
      <c r="AX9" s="22"/>
    </row>
    <row r="10" spans="1:50" s="13" customFormat="1" ht="13" x14ac:dyDescent="0.3">
      <c r="A10" s="20">
        <v>1</v>
      </c>
      <c r="B10" s="20">
        <v>1</v>
      </c>
      <c r="C10" s="20" t="s">
        <v>34</v>
      </c>
      <c r="D10" s="17">
        <f>Scenario!AN26</f>
        <v>0.23447740333822151</v>
      </c>
      <c r="E10" s="17">
        <f>Scenario!AO26</f>
        <v>0.55914741552463088</v>
      </c>
      <c r="F10" s="17">
        <f>Scenario!AP26</f>
        <v>1.0207748300823047</v>
      </c>
      <c r="G10" s="17">
        <f>Scenario!AQ26</f>
        <v>1.8635179646710851</v>
      </c>
      <c r="H10" s="17">
        <f>Scenario!AR26</f>
        <v>4.4438450737470596</v>
      </c>
      <c r="I10" s="17">
        <f t="shared" si="0"/>
        <v>0.1</v>
      </c>
      <c r="J10" s="17">
        <f t="shared" si="1"/>
        <v>0.1</v>
      </c>
      <c r="K10" s="17">
        <f t="shared" si="1"/>
        <v>0.1</v>
      </c>
      <c r="L10" s="19">
        <f t="shared" si="1"/>
        <v>0.1</v>
      </c>
      <c r="M10" s="17">
        <f t="shared" si="1"/>
        <v>4.4438450737470596</v>
      </c>
      <c r="N10" s="229">
        <f>'Phy activity RRs'!$G$4</f>
        <v>0.93831941951583364</v>
      </c>
      <c r="O10" s="15">
        <f>IF(('user page'!$R$36=0),$N10^(I10^0.25),IF(('user page'!$R$36=1),$N10^(I10^0.5),IF(('user page'!$R$36=2),$N10^(I10^0.375),IF(('user page'!$R$36=4),$N10^(I10),IF(('user page'!$R$36=3),$N10^(LN(1+I10)),"")))))</f>
        <v>0.98006871247951299</v>
      </c>
      <c r="P10" s="15">
        <f>IF(('user page'!$R$36=0),$N10^(J10^0.25),IF(('user page'!$R$36=1),$N10^(J10^0.5),IF(('user page'!$R$36=2),$N10^(J10^0.375),IF(('user page'!$R$36=4),$N10^(J10),IF(('user page'!$R$36=3),$N10^(LN(1+J10)),"")))))</f>
        <v>0.98006871247951299</v>
      </c>
      <c r="Q10" s="15">
        <f>IF(('user page'!$R$36=0),$N10^(K10^0.25),IF(('user page'!$R$36=1),$N10^(K10^0.5),IF(('user page'!$R$36=2),$N10^(K10^0.375),IF(('user page'!$R$36=4),$N10^(K10),IF(('user page'!$R$36=3),$N10^(LN(1+K10)),"")))))</f>
        <v>0.98006871247951299</v>
      </c>
      <c r="R10" s="15">
        <f>IF(('user page'!$R$36=0),$N10^(L10^0.25),IF(('user page'!$R$36=1),$N10^(L10^0.5),IF(('user page'!$R$36=2),$N10^(L10^0.375),IF(('user page'!$R$36=4),$N10^(L10),IF(('user page'!$R$36=3),$N10^(LN(1+L10)),"")))))</f>
        <v>0.98006871247951299</v>
      </c>
      <c r="S10" s="15">
        <f>IF(('user page'!$R$36=0),$N10^(M10^0.25),IF(('user page'!$R$36=1),$N10^(M10^0.5),IF(('user page'!$R$36=2),$N10^(M10^0.375),IF(('user page'!$R$36=4),$N10^(M10),IF(('user page'!$R$36=3),$N10^(LN(1+M10)),"")))))</f>
        <v>0.87440795059483067</v>
      </c>
      <c r="T10" s="18">
        <f t="shared" si="2"/>
        <v>1</v>
      </c>
      <c r="U10" s="18">
        <f t="shared" si="2"/>
        <v>1</v>
      </c>
      <c r="V10" s="18">
        <f t="shared" si="2"/>
        <v>1</v>
      </c>
      <c r="W10" s="183">
        <f t="shared" si="2"/>
        <v>1</v>
      </c>
      <c r="X10" s="324">
        <f t="shared" si="2"/>
        <v>0.89219045507802497</v>
      </c>
      <c r="Y10" s="30">
        <f t="shared" si="8"/>
        <v>-8.5460582873575497E-4</v>
      </c>
      <c r="Z10" s="269">
        <f t="shared" si="3"/>
        <v>1.0008546058287358</v>
      </c>
      <c r="AA10" s="269">
        <f>'Inflammatory HD'!F10</f>
        <v>1</v>
      </c>
      <c r="AB10" s="17">
        <f>Z10*AA10*GBDNZ!$E61/($T10+$U10+$X10+V10+W10)</f>
        <v>379.30857501305911</v>
      </c>
      <c r="AC10" s="16">
        <f t="shared" si="4"/>
        <v>379.30857501305911</v>
      </c>
      <c r="AD10" s="16">
        <f t="shared" si="4"/>
        <v>379.30857501305911</v>
      </c>
      <c r="AE10" s="16">
        <f t="shared" si="4"/>
        <v>379.30857501305911</v>
      </c>
      <c r="AF10" s="16">
        <f t="shared" si="4"/>
        <v>338.4154901558984</v>
      </c>
      <c r="AG10" s="17">
        <f>Z10*AA10*GBDNZ!$F61/($T10+$U10+$X10+V10+W10)</f>
        <v>2476.8105564804105</v>
      </c>
      <c r="AH10" s="16">
        <f t="shared" si="5"/>
        <v>2476.8105564804105</v>
      </c>
      <c r="AI10" s="16">
        <f t="shared" si="5"/>
        <v>2476.8105564804105</v>
      </c>
      <c r="AJ10" s="16">
        <f t="shared" si="5"/>
        <v>2476.8105564804105</v>
      </c>
      <c r="AK10" s="16">
        <f t="shared" si="5"/>
        <v>2209.7867375283136</v>
      </c>
      <c r="AL10" s="17">
        <f>Z10*GBDNZ!$G61/($T10+$U10+$X10+V10+W10)</f>
        <v>99.161363712192781</v>
      </c>
      <c r="AM10" s="16">
        <f t="shared" si="6"/>
        <v>99.161363712192781</v>
      </c>
      <c r="AN10" s="16">
        <f t="shared" si="6"/>
        <v>99.161363712192781</v>
      </c>
      <c r="AO10" s="16">
        <f t="shared" si="6"/>
        <v>99.161363712192781</v>
      </c>
      <c r="AP10" s="16">
        <f t="shared" si="6"/>
        <v>88.470822216538835</v>
      </c>
      <c r="AQ10" s="17">
        <f t="shared" si="9"/>
        <v>1.5844950081349225</v>
      </c>
      <c r="AR10" s="17">
        <f t="shared" si="10"/>
        <v>10.346441449956728</v>
      </c>
      <c r="AS10" s="17">
        <f t="shared" si="11"/>
        <v>0.41422919530994307</v>
      </c>
      <c r="AT10" s="17">
        <f t="shared" si="7"/>
        <v>10.760670645266671</v>
      </c>
      <c r="AU10" s="22"/>
      <c r="AV10" s="22"/>
      <c r="AW10" s="22"/>
      <c r="AX10" s="22"/>
    </row>
    <row r="11" spans="1:50" s="13" customFormat="1" ht="13" x14ac:dyDescent="0.3">
      <c r="A11" s="20">
        <v>1</v>
      </c>
      <c r="B11" s="20">
        <v>2</v>
      </c>
      <c r="C11" s="20" t="s">
        <v>2</v>
      </c>
      <c r="D11" s="17"/>
      <c r="E11" s="17"/>
      <c r="F11" s="17"/>
      <c r="G11" s="17"/>
      <c r="H11" s="17"/>
      <c r="I11" s="17"/>
      <c r="J11" s="17"/>
      <c r="K11" s="17"/>
      <c r="L11" s="19"/>
      <c r="M11" s="17"/>
      <c r="N11" s="229"/>
      <c r="O11" s="15"/>
      <c r="P11" s="15"/>
      <c r="Q11" s="15"/>
      <c r="R11" s="15"/>
      <c r="S11" s="15"/>
      <c r="T11" s="18"/>
      <c r="U11" s="18"/>
      <c r="V11" s="18"/>
      <c r="W11" s="183"/>
      <c r="X11" s="324"/>
      <c r="Y11" s="30"/>
      <c r="Z11" s="269"/>
      <c r="AA11" s="203"/>
      <c r="AB11" s="17"/>
      <c r="AC11" s="16"/>
      <c r="AD11" s="16"/>
      <c r="AE11" s="16"/>
      <c r="AF11" s="16"/>
      <c r="AG11" s="17"/>
      <c r="AH11" s="16"/>
      <c r="AI11" s="16"/>
      <c r="AJ11" s="16"/>
      <c r="AK11" s="16"/>
      <c r="AL11" s="17"/>
      <c r="AM11" s="16"/>
      <c r="AN11" s="16"/>
      <c r="AO11" s="16"/>
      <c r="AP11" s="16"/>
      <c r="AQ11" s="17"/>
      <c r="AR11" s="17"/>
      <c r="AS11" s="17"/>
      <c r="AT11" s="17"/>
      <c r="AU11" s="22"/>
      <c r="AV11" s="22"/>
      <c r="AW11" s="22"/>
      <c r="AX11" s="22"/>
    </row>
    <row r="12" spans="1:50" s="13" customFormat="1" ht="13" x14ac:dyDescent="0.3">
      <c r="A12" s="20">
        <v>1</v>
      </c>
      <c r="B12" s="20">
        <v>2</v>
      </c>
      <c r="C12" s="20" t="s">
        <v>40</v>
      </c>
      <c r="D12" s="17"/>
      <c r="E12" s="17"/>
      <c r="F12" s="17"/>
      <c r="G12" s="17"/>
      <c r="H12" s="17"/>
      <c r="I12" s="17"/>
      <c r="J12" s="17"/>
      <c r="K12" s="17"/>
      <c r="L12" s="19"/>
      <c r="M12" s="17"/>
      <c r="N12" s="229"/>
      <c r="O12" s="15"/>
      <c r="P12" s="15"/>
      <c r="Q12" s="15"/>
      <c r="R12" s="15"/>
      <c r="S12" s="15"/>
      <c r="T12" s="18"/>
      <c r="U12" s="18"/>
      <c r="V12" s="18"/>
      <c r="W12" s="183"/>
      <c r="X12" s="324"/>
      <c r="Y12" s="30"/>
      <c r="Z12" s="269"/>
      <c r="AA12" s="203"/>
      <c r="AB12" s="17"/>
      <c r="AC12" s="16"/>
      <c r="AD12" s="16"/>
      <c r="AE12" s="16"/>
      <c r="AF12" s="16"/>
      <c r="AG12" s="17"/>
      <c r="AH12" s="16"/>
      <c r="AI12" s="16"/>
      <c r="AJ12" s="16"/>
      <c r="AK12" s="16"/>
      <c r="AL12" s="17"/>
      <c r="AM12" s="16"/>
      <c r="AN12" s="16"/>
      <c r="AO12" s="16"/>
      <c r="AP12" s="16"/>
      <c r="AQ12" s="17"/>
      <c r="AR12" s="17"/>
      <c r="AS12" s="17"/>
      <c r="AT12" s="17"/>
      <c r="AU12" s="22"/>
      <c r="AV12" s="22"/>
      <c r="AW12" s="22"/>
      <c r="AX12" s="22"/>
    </row>
    <row r="13" spans="1:50" s="13" customFormat="1" ht="13" x14ac:dyDescent="0.3">
      <c r="A13" s="20">
        <v>1</v>
      </c>
      <c r="B13" s="20">
        <v>2</v>
      </c>
      <c r="C13" s="20" t="s">
        <v>39</v>
      </c>
      <c r="D13" s="17">
        <f>Scenario!AN29</f>
        <v>0.36317941114117153</v>
      </c>
      <c r="E13" s="17">
        <f>Scenario!AO29</f>
        <v>0.86605713906863857</v>
      </c>
      <c r="F13" s="17">
        <f>Scenario!AP29</f>
        <v>1.5810666461632132</v>
      </c>
      <c r="G13" s="17">
        <f>Scenario!AQ29</f>
        <v>2.8863820028064824</v>
      </c>
      <c r="H13" s="17">
        <f>Scenario!AR29</f>
        <v>6.8830216221648746</v>
      </c>
      <c r="I13" s="17">
        <f t="shared" ref="I13:I18" si="12">IF(D13&gt;2.5,D13,0.1)</f>
        <v>0.1</v>
      </c>
      <c r="J13" s="17">
        <f t="shared" si="1"/>
        <v>0.1</v>
      </c>
      <c r="K13" s="17">
        <f t="shared" si="1"/>
        <v>0.1</v>
      </c>
      <c r="L13" s="19">
        <f t="shared" si="1"/>
        <v>2.8863820028064824</v>
      </c>
      <c r="M13" s="17">
        <f t="shared" si="1"/>
        <v>6.8830216221648746</v>
      </c>
      <c r="N13" s="229">
        <f>'Phy activity RRs'!$G$4</f>
        <v>0.93831941951583364</v>
      </c>
      <c r="O13" s="15">
        <f>IF(('user page'!$R$36=0),$N13^(I13^0.25),IF(('user page'!$R$36=1),$N13^(I13^0.5),IF(('user page'!$R$36=2),$N13^(I13^0.375),IF(('user page'!$R$36=4),$N13^(I13),IF(('user page'!$R$36=3),$N13^(LN(1+I13)),"")))))</f>
        <v>0.98006871247951299</v>
      </c>
      <c r="P13" s="15">
        <f>IF(('user page'!$R$36=0),$N13^(J13^0.25),IF(('user page'!$R$36=1),$N13^(J13^0.5),IF(('user page'!$R$36=2),$N13^(J13^0.375),IF(('user page'!$R$36=4),$N13^(J13),IF(('user page'!$R$36=3),$N13^(LN(1+J13)),"")))))</f>
        <v>0.98006871247951299</v>
      </c>
      <c r="Q13" s="15">
        <f>IF(('user page'!$R$36=0),$N13^(K13^0.25),IF(('user page'!$R$36=1),$N13^(K13^0.5),IF(('user page'!$R$36=2),$N13^(K13^0.375),IF(('user page'!$R$36=4),$N13^(K13),IF(('user page'!$R$36=3),$N13^(LN(1+K13)),"")))))</f>
        <v>0.98006871247951299</v>
      </c>
      <c r="R13" s="15">
        <f>IF(('user page'!$R$36=0),$N13^(L13^0.25),IF(('user page'!$R$36=1),$N13^(L13^0.5),IF(('user page'!$R$36=2),$N13^(L13^0.375),IF(('user page'!$R$36=4),$N13^(L13),IF(('user page'!$R$36=3),$N13^(LN(1+L13)),"")))))</f>
        <v>0.89748175623697668</v>
      </c>
      <c r="S13" s="15">
        <f>IF(('user page'!$R$36=0),$N13^(M13^0.25),IF(('user page'!$R$36=1),$N13^(M13^0.5),IF(('user page'!$R$36=2),$N13^(M13^0.375),IF(('user page'!$R$36=4),$N13^(M13),IF(('user page'!$R$36=3),$N13^(LN(1+M13)),"")))))</f>
        <v>0.84617590404534304</v>
      </c>
      <c r="T13" s="18">
        <f t="shared" ref="T13:X18" si="13">O13/$O13</f>
        <v>1</v>
      </c>
      <c r="U13" s="18">
        <f t="shared" si="13"/>
        <v>1</v>
      </c>
      <c r="V13" s="18">
        <f t="shared" si="13"/>
        <v>1</v>
      </c>
      <c r="W13" s="183">
        <f t="shared" si="13"/>
        <v>0.9157335039972897</v>
      </c>
      <c r="X13" s="324">
        <f t="shared" si="13"/>
        <v>0.86338426405284441</v>
      </c>
      <c r="Y13" s="30">
        <f t="shared" si="8"/>
        <v>-1.5820674173621097E-3</v>
      </c>
      <c r="Z13" s="269">
        <f t="shared" ref="Z13:Z18" si="14">SUM(O13:S13)/SUM(O30:S30)</f>
        <v>1.0015820674173621</v>
      </c>
      <c r="AA13" s="269">
        <f>'Inflammatory HD'!F13</f>
        <v>1</v>
      </c>
      <c r="AB13" s="17">
        <f>Z13*AA13*GBDNZ!$E64/($T13+$U13+$X13+V13+W13)</f>
        <v>0.29484745220087483</v>
      </c>
      <c r="AC13" s="16">
        <f t="shared" ref="AC13:AF18" si="15">$AB13*U13</f>
        <v>0.29484745220087483</v>
      </c>
      <c r="AD13" s="16">
        <f t="shared" si="15"/>
        <v>0.29484745220087483</v>
      </c>
      <c r="AE13" s="16">
        <f t="shared" si="15"/>
        <v>0.27000169054858048</v>
      </c>
      <c r="AF13" s="16">
        <f t="shared" si="15"/>
        <v>0.25456665052630856</v>
      </c>
      <c r="AG13" s="17">
        <f>Z13*AA13*GBDNZ!$F64/($T13+$U13+$X13+V13+W13)</f>
        <v>18.366087457931879</v>
      </c>
      <c r="AH13" s="16">
        <f t="shared" ref="AH13:AK18" si="16">$AG13*U13</f>
        <v>18.366087457931879</v>
      </c>
      <c r="AI13" s="16">
        <f t="shared" si="16"/>
        <v>18.366087457931879</v>
      </c>
      <c r="AJ13" s="16">
        <f t="shared" si="16"/>
        <v>16.818441622572635</v>
      </c>
      <c r="AK13" s="16">
        <f t="shared" si="16"/>
        <v>15.856990903396692</v>
      </c>
      <c r="AL13" s="17">
        <f>Z13*GBDNZ!$G64/($T13+$U13+$X13+V13+W13)</f>
        <v>0.21102921402565245</v>
      </c>
      <c r="AM13" s="16">
        <f t="shared" ref="AM13:AP18" si="17">$AL13*U13</f>
        <v>0.21102921402565245</v>
      </c>
      <c r="AN13" s="16">
        <f t="shared" si="17"/>
        <v>0.21102921402565245</v>
      </c>
      <c r="AO13" s="16">
        <f t="shared" si="17"/>
        <v>0.19324652160550471</v>
      </c>
      <c r="AP13" s="16">
        <f t="shared" si="17"/>
        <v>0.18219930264518813</v>
      </c>
      <c r="AQ13" s="17">
        <f t="shared" si="9"/>
        <v>2.2257867775132834E-3</v>
      </c>
      <c r="AR13" s="17">
        <f t="shared" si="10"/>
        <v>0.13864455776494822</v>
      </c>
      <c r="AS13" s="17">
        <f t="shared" si="11"/>
        <v>1.5930476276501404E-3</v>
      </c>
      <c r="AT13" s="17">
        <f t="shared" ref="AT13:AT18" si="18">AR13+AS13</f>
        <v>0.14023760539259836</v>
      </c>
      <c r="AU13" s="22"/>
      <c r="AV13" s="22"/>
      <c r="AW13" s="22"/>
      <c r="AX13" s="22"/>
    </row>
    <row r="14" spans="1:50" s="13" customFormat="1" ht="13" x14ac:dyDescent="0.3">
      <c r="A14" s="20">
        <v>1</v>
      </c>
      <c r="B14" s="20">
        <v>2</v>
      </c>
      <c r="C14" s="20" t="s">
        <v>38</v>
      </c>
      <c r="D14" s="17">
        <f>Scenario!AN30</f>
        <v>0.30288827772466836</v>
      </c>
      <c r="E14" s="17">
        <f>Scenario!AO30</f>
        <v>0.72228366261017962</v>
      </c>
      <c r="F14" s="17">
        <f>Scenario!AP30</f>
        <v>1.3185949939165058</v>
      </c>
      <c r="G14" s="17">
        <f>Scenario!AQ30</f>
        <v>2.4072159568145346</v>
      </c>
      <c r="H14" s="17">
        <f>Scenario!AR30</f>
        <v>5.7403765211480957</v>
      </c>
      <c r="I14" s="17">
        <f t="shared" si="12"/>
        <v>0.1</v>
      </c>
      <c r="J14" s="17">
        <f t="shared" si="1"/>
        <v>0.1</v>
      </c>
      <c r="K14" s="17">
        <f t="shared" si="1"/>
        <v>0.1</v>
      </c>
      <c r="L14" s="19">
        <f t="shared" si="1"/>
        <v>0.1</v>
      </c>
      <c r="M14" s="17">
        <f t="shared" si="1"/>
        <v>5.7403765211480957</v>
      </c>
      <c r="N14" s="229">
        <f>'Phy activity RRs'!$G$4</f>
        <v>0.93831941951583364</v>
      </c>
      <c r="O14" s="15">
        <f>IF(('user page'!$R$36=0),$N14^(I14^0.25),IF(('user page'!$R$36=1),$N14^(I14^0.5),IF(('user page'!$R$36=2),$N14^(I14^0.375),IF(('user page'!$R$36=4),$N14^(I14),IF(('user page'!$R$36=3),$N14^(LN(1+I14)),"")))))</f>
        <v>0.98006871247951299</v>
      </c>
      <c r="P14" s="15">
        <f>IF(('user page'!$R$36=0),$N14^(J14^0.25),IF(('user page'!$R$36=1),$N14^(J14^0.5),IF(('user page'!$R$36=2),$N14^(J14^0.375),IF(('user page'!$R$36=4),$N14^(J14),IF(('user page'!$R$36=3),$N14^(LN(1+J14)),"")))))</f>
        <v>0.98006871247951299</v>
      </c>
      <c r="Q14" s="15">
        <f>IF(('user page'!$R$36=0),$N14^(K14^0.25),IF(('user page'!$R$36=1),$N14^(K14^0.5),IF(('user page'!$R$36=2),$N14^(K14^0.375),IF(('user page'!$R$36=4),$N14^(K14),IF(('user page'!$R$36=3),$N14^(LN(1+K14)),"")))))</f>
        <v>0.98006871247951299</v>
      </c>
      <c r="R14" s="15">
        <f>IF(('user page'!$R$36=0),$N14^(L14^0.25),IF(('user page'!$R$36=1),$N14^(L14^0.5),IF(('user page'!$R$36=2),$N14^(L14^0.375),IF(('user page'!$R$36=4),$N14^(L14),IF(('user page'!$R$36=3),$N14^(LN(1+L14)),"")))))</f>
        <v>0.98006871247951299</v>
      </c>
      <c r="S14" s="15">
        <f>IF(('user page'!$R$36=0),$N14^(M14^0.25),IF(('user page'!$R$36=1),$N14^(M14^0.5),IF(('user page'!$R$36=2),$N14^(M14^0.375),IF(('user page'!$R$36=4),$N14^(M14),IF(('user page'!$R$36=3),$N14^(LN(1+M14)),"")))))</f>
        <v>0.85852871211591497</v>
      </c>
      <c r="T14" s="18">
        <f t="shared" si="13"/>
        <v>1</v>
      </c>
      <c r="U14" s="18">
        <f t="shared" si="13"/>
        <v>1</v>
      </c>
      <c r="V14" s="18">
        <f t="shared" si="13"/>
        <v>1</v>
      </c>
      <c r="W14" s="183">
        <f t="shared" si="13"/>
        <v>1</v>
      </c>
      <c r="X14" s="324">
        <f t="shared" si="13"/>
        <v>0.87598828651910599</v>
      </c>
      <c r="Y14" s="30">
        <f t="shared" si="8"/>
        <v>-1.7133614810808107E-2</v>
      </c>
      <c r="Z14" s="269">
        <f t="shared" si="14"/>
        <v>1.0171336148108081</v>
      </c>
      <c r="AA14" s="269">
        <f>'Inflammatory HD'!F14</f>
        <v>1</v>
      </c>
      <c r="AB14" s="17">
        <f>Z14*AA14*GBDNZ!$E65/($T14+$U14+$X14+V14+W14)</f>
        <v>3.0477313870789593</v>
      </c>
      <c r="AC14" s="16">
        <f t="shared" si="15"/>
        <v>3.0477313870789593</v>
      </c>
      <c r="AD14" s="16">
        <f t="shared" si="15"/>
        <v>3.0477313870789593</v>
      </c>
      <c r="AE14" s="16">
        <f t="shared" si="15"/>
        <v>3.0477313870789593</v>
      </c>
      <c r="AF14" s="16">
        <f t="shared" si="15"/>
        <v>2.6697769955377959</v>
      </c>
      <c r="AG14" s="17">
        <f>Z14*AA14*GBDNZ!$F65/($T14+$U14+$X14+V14+W14)</f>
        <v>143.00015092307484</v>
      </c>
      <c r="AH14" s="16">
        <f t="shared" si="16"/>
        <v>143.00015092307484</v>
      </c>
      <c r="AI14" s="16">
        <f t="shared" si="16"/>
        <v>143.00015092307484</v>
      </c>
      <c r="AJ14" s="16">
        <f t="shared" si="16"/>
        <v>143.00015092307484</v>
      </c>
      <c r="AK14" s="16">
        <f t="shared" si="16"/>
        <v>125.26645717907788</v>
      </c>
      <c r="AL14" s="17">
        <f>Z14*GBDNZ!$G65/($T14+$U14+$X14+V14+W14)</f>
        <v>1.9573937306663929</v>
      </c>
      <c r="AM14" s="16">
        <f t="shared" si="17"/>
        <v>1.9573937306663929</v>
      </c>
      <c r="AN14" s="16">
        <f t="shared" si="17"/>
        <v>1.9573937306663929</v>
      </c>
      <c r="AO14" s="16">
        <f t="shared" si="17"/>
        <v>1.9573937306663929</v>
      </c>
      <c r="AP14" s="16">
        <f t="shared" si="17"/>
        <v>1.7146539801696938</v>
      </c>
      <c r="AQ14" s="17">
        <f t="shared" si="9"/>
        <v>0.2503285207536341</v>
      </c>
      <c r="AR14" s="17">
        <f t="shared" si="10"/>
        <v>11.745463002377193</v>
      </c>
      <c r="AS14" s="17">
        <f t="shared" si="11"/>
        <v>0.16077252713526624</v>
      </c>
      <c r="AT14" s="17">
        <f t="shared" si="18"/>
        <v>11.906235529512459</v>
      </c>
      <c r="AU14" s="22"/>
      <c r="AV14" s="22"/>
      <c r="AW14" s="22"/>
      <c r="AX14" s="22"/>
    </row>
    <row r="15" spans="1:50" s="13" customFormat="1" ht="13" x14ac:dyDescent="0.3">
      <c r="A15" s="20">
        <v>1</v>
      </c>
      <c r="B15" s="20">
        <v>2</v>
      </c>
      <c r="C15" s="20" t="s">
        <v>37</v>
      </c>
      <c r="D15" s="17">
        <f>Scenario!AN31</f>
        <v>0.44144644170812064</v>
      </c>
      <c r="E15" s="17">
        <f>Scenario!AO31</f>
        <v>1.0526969057977646</v>
      </c>
      <c r="F15" s="17">
        <f>Scenario!AP31</f>
        <v>1.9217946382451725</v>
      </c>
      <c r="G15" s="17">
        <f>Scenario!AQ31</f>
        <v>3.5084121661676253</v>
      </c>
      <c r="H15" s="17">
        <f>Scenario!AR31</f>
        <v>8.3663481741911028</v>
      </c>
      <c r="I15" s="17">
        <f t="shared" si="12"/>
        <v>0.1</v>
      </c>
      <c r="J15" s="17">
        <f t="shared" si="1"/>
        <v>0.1</v>
      </c>
      <c r="K15" s="17">
        <f t="shared" si="1"/>
        <v>0.1</v>
      </c>
      <c r="L15" s="19">
        <f t="shared" si="1"/>
        <v>3.5084121661676253</v>
      </c>
      <c r="M15" s="17">
        <f t="shared" si="1"/>
        <v>8.3663481741911028</v>
      </c>
      <c r="N15" s="229">
        <f>'Phy activity RRs'!$G$4</f>
        <v>0.93831941951583364</v>
      </c>
      <c r="O15" s="15">
        <f>IF(('user page'!$R$36=0),$N15^(I15^0.25),IF(('user page'!$R$36=1),$N15^(I15^0.5),IF(('user page'!$R$36=2),$N15^(I15^0.375),IF(('user page'!$R$36=4),$N15^(I15),IF(('user page'!$R$36=3),$N15^(LN(1+I15)),"")))))</f>
        <v>0.98006871247951299</v>
      </c>
      <c r="P15" s="15">
        <f>IF(('user page'!$R$36=0),$N15^(J15^0.25),IF(('user page'!$R$36=1),$N15^(J15^0.5),IF(('user page'!$R$36=2),$N15^(J15^0.375),IF(('user page'!$R$36=4),$N15^(J15),IF(('user page'!$R$36=3),$N15^(LN(1+J15)),"")))))</f>
        <v>0.98006871247951299</v>
      </c>
      <c r="Q15" s="15">
        <f>IF(('user page'!$R$36=0),$N15^(K15^0.25),IF(('user page'!$R$36=1),$N15^(K15^0.5),IF(('user page'!$R$36=2),$N15^(K15^0.375),IF(('user page'!$R$36=4),$N15^(K15),IF(('user page'!$R$36=3),$N15^(LN(1+K15)),"")))))</f>
        <v>0.98006871247951299</v>
      </c>
      <c r="R15" s="15">
        <f>IF(('user page'!$R$36=0),$N15^(L15^0.25),IF(('user page'!$R$36=1),$N15^(L15^0.5),IF(('user page'!$R$36=2),$N15^(L15^0.375),IF(('user page'!$R$36=4),$N15^(L15),IF(('user page'!$R$36=3),$N15^(LN(1+L15)),"")))))</f>
        <v>0.88758668725991674</v>
      </c>
      <c r="S15" s="15">
        <f>IF(('user page'!$R$36=0),$N15^(M15^0.25),IF(('user page'!$R$36=1),$N15^(M15^0.5),IF(('user page'!$R$36=2),$N15^(M15^0.375),IF(('user page'!$R$36=4),$N15^(M15),IF(('user page'!$R$36=3),$N15^(LN(1+M15)),"")))))</f>
        <v>0.83181243327265386</v>
      </c>
      <c r="T15" s="18">
        <f t="shared" si="13"/>
        <v>1</v>
      </c>
      <c r="U15" s="18">
        <f t="shared" si="13"/>
        <v>1</v>
      </c>
      <c r="V15" s="18">
        <f t="shared" si="13"/>
        <v>1</v>
      </c>
      <c r="W15" s="183">
        <f t="shared" si="13"/>
        <v>0.90563720273691584</v>
      </c>
      <c r="X15" s="324">
        <f t="shared" si="13"/>
        <v>0.84872868879593155</v>
      </c>
      <c r="Y15" s="30">
        <f t="shared" si="8"/>
        <v>-1.2169761662024214E-3</v>
      </c>
      <c r="Z15" s="269">
        <f t="shared" si="14"/>
        <v>1.0012169761662024</v>
      </c>
      <c r="AA15" s="269">
        <f>'Inflammatory HD'!F15</f>
        <v>1</v>
      </c>
      <c r="AB15" s="17">
        <f>Z15*AA15*GBDNZ!$E66/($T15+$U15+$X15+V15+W15)</f>
        <v>19.73316504592222</v>
      </c>
      <c r="AC15" s="16">
        <f t="shared" si="15"/>
        <v>19.73316504592222</v>
      </c>
      <c r="AD15" s="16">
        <f t="shared" si="15"/>
        <v>19.73316504592222</v>
      </c>
      <c r="AE15" s="16">
        <f t="shared" si="15"/>
        <v>17.871088393334883</v>
      </c>
      <c r="AF15" s="16">
        <f t="shared" si="15"/>
        <v>16.748103295219273</v>
      </c>
      <c r="AG15" s="17">
        <f>Z15*AA15*GBDNZ!$F66/($T15+$U15+$X15+V15+W15)</f>
        <v>669.65709157034053</v>
      </c>
      <c r="AH15" s="16">
        <f t="shared" si="16"/>
        <v>669.65709157034053</v>
      </c>
      <c r="AI15" s="16">
        <f t="shared" si="16"/>
        <v>669.65709157034053</v>
      </c>
      <c r="AJ15" s="16">
        <f t="shared" si="16"/>
        <v>606.4663752027019</v>
      </c>
      <c r="AK15" s="16">
        <f t="shared" si="16"/>
        <v>568.35718527139215</v>
      </c>
      <c r="AL15" s="17">
        <f>Z15*GBDNZ!$G66/($T15+$U15+$X15+V15+W15)</f>
        <v>54.150995793765198</v>
      </c>
      <c r="AM15" s="16">
        <f t="shared" si="17"/>
        <v>54.150995793765198</v>
      </c>
      <c r="AN15" s="16">
        <f t="shared" si="17"/>
        <v>54.150995793765198</v>
      </c>
      <c r="AO15" s="16">
        <f t="shared" si="17"/>
        <v>49.041156356084009</v>
      </c>
      <c r="AP15" s="16">
        <f t="shared" si="17"/>
        <v>45.959503657036343</v>
      </c>
      <c r="AQ15" s="17">
        <f t="shared" si="9"/>
        <v>0.1140363263208215</v>
      </c>
      <c r="AR15" s="17">
        <f t="shared" si="10"/>
        <v>3.869892865115844</v>
      </c>
      <c r="AS15" s="17">
        <f t="shared" si="11"/>
        <v>0.31293411941589966</v>
      </c>
      <c r="AT15" s="17">
        <f t="shared" si="18"/>
        <v>4.1828269845317436</v>
      </c>
      <c r="AU15" s="22"/>
      <c r="AV15" s="22"/>
      <c r="AW15" s="22"/>
      <c r="AX15" s="22"/>
    </row>
    <row r="16" spans="1:50" s="13" customFormat="1" ht="13" x14ac:dyDescent="0.3">
      <c r="A16" s="20">
        <v>1</v>
      </c>
      <c r="B16" s="20">
        <v>2</v>
      </c>
      <c r="C16" s="20" t="s">
        <v>36</v>
      </c>
      <c r="D16" s="17">
        <f>Scenario!AN32</f>
        <v>0.3316861829647314</v>
      </c>
      <c r="E16" s="17">
        <f>Scenario!AO32</f>
        <v>0.79095669488646103</v>
      </c>
      <c r="F16" s="17">
        <f>Scenario!AP32</f>
        <v>1.4439639054177522</v>
      </c>
      <c r="G16" s="17">
        <f>Scenario!AQ32</f>
        <v>2.6360883897045526</v>
      </c>
      <c r="H16" s="17">
        <f>Scenario!AR32</f>
        <v>6.2861580229616978</v>
      </c>
      <c r="I16" s="17">
        <f t="shared" si="12"/>
        <v>0.1</v>
      </c>
      <c r="J16" s="17">
        <f t="shared" si="1"/>
        <v>0.1</v>
      </c>
      <c r="K16" s="17">
        <f t="shared" si="1"/>
        <v>0.1</v>
      </c>
      <c r="L16" s="19">
        <f t="shared" si="1"/>
        <v>2.6360883897045526</v>
      </c>
      <c r="M16" s="17">
        <f t="shared" si="1"/>
        <v>6.2861580229616978</v>
      </c>
      <c r="N16" s="229">
        <f>'Phy activity RRs'!$G$4</f>
        <v>0.93831941951583364</v>
      </c>
      <c r="O16" s="15">
        <f>IF(('user page'!$R$36=0),$N16^(I16^0.25),IF(('user page'!$R$36=1),$N16^(I16^0.5),IF(('user page'!$R$36=2),$N16^(I16^0.375),IF(('user page'!$R$36=4),$N16^(I16),IF(('user page'!$R$36=3),$N16^(LN(1+I16)),"")))))</f>
        <v>0.98006871247951299</v>
      </c>
      <c r="P16" s="15">
        <f>IF(('user page'!$R$36=0),$N16^(J16^0.25),IF(('user page'!$R$36=1),$N16^(J16^0.5),IF(('user page'!$R$36=2),$N16^(J16^0.375),IF(('user page'!$R$36=4),$N16^(J16),IF(('user page'!$R$36=3),$N16^(LN(1+J16)),"")))))</f>
        <v>0.98006871247951299</v>
      </c>
      <c r="Q16" s="15">
        <f>IF(('user page'!$R$36=0),$N16^(K16^0.25),IF(('user page'!$R$36=1),$N16^(K16^0.5),IF(('user page'!$R$36=2),$N16^(K16^0.375),IF(('user page'!$R$36=4),$N16^(K16),IF(('user page'!$R$36=3),$N16^(LN(1+K16)),"")))))</f>
        <v>0.98006871247951299</v>
      </c>
      <c r="R16" s="15">
        <f>IF(('user page'!$R$36=0),$N16^(L16^0.25),IF(('user page'!$R$36=1),$N16^(L16^0.5),IF(('user page'!$R$36=2),$N16^(L16^0.375),IF(('user page'!$R$36=4),$N16^(L16),IF(('user page'!$R$36=3),$N16^(LN(1+L16)),"")))))</f>
        <v>0.90179641955294909</v>
      </c>
      <c r="S16" s="15">
        <f>IF(('user page'!$R$36=0),$N16^(M16^0.25),IF(('user page'!$R$36=1),$N16^(M16^0.5),IF(('user page'!$R$36=2),$N16^(M16^0.375),IF(('user page'!$R$36=4),$N16^(M16),IF(('user page'!$R$36=3),$N16^(LN(1+M16)),"")))))</f>
        <v>0.85246606793714386</v>
      </c>
      <c r="T16" s="18">
        <f t="shared" si="13"/>
        <v>1</v>
      </c>
      <c r="U16" s="18">
        <f t="shared" si="13"/>
        <v>1</v>
      </c>
      <c r="V16" s="18">
        <f t="shared" si="13"/>
        <v>1</v>
      </c>
      <c r="W16" s="183">
        <f t="shared" si="13"/>
        <v>0.92013591299273312</v>
      </c>
      <c r="X16" s="324">
        <f t="shared" si="13"/>
        <v>0.86980234863375816</v>
      </c>
      <c r="Y16" s="30">
        <f t="shared" si="8"/>
        <v>-1.6682904076787963E-3</v>
      </c>
      <c r="Z16" s="269">
        <f t="shared" si="14"/>
        <v>1.0016682904076788</v>
      </c>
      <c r="AA16" s="269">
        <f>'Inflammatory HD'!F16</f>
        <v>1</v>
      </c>
      <c r="AB16" s="17">
        <f>Z16*AA16*GBDNZ!$E67/($T16+$U16+$X16+V16+W16)</f>
        <v>46.109540940039018</v>
      </c>
      <c r="AC16" s="16">
        <f t="shared" si="15"/>
        <v>46.109540940039018</v>
      </c>
      <c r="AD16" s="16">
        <f t="shared" si="15"/>
        <v>46.109540940039018</v>
      </c>
      <c r="AE16" s="16">
        <f t="shared" si="15"/>
        <v>42.427044550538611</v>
      </c>
      <c r="AF16" s="16">
        <f t="shared" si="15"/>
        <v>40.106187004070364</v>
      </c>
      <c r="AG16" s="17">
        <f>Z16*AA16*GBDNZ!$F67/($T16+$U16+$X16+V16+W16)</f>
        <v>1077.0532196950785</v>
      </c>
      <c r="AH16" s="16">
        <f t="shared" si="16"/>
        <v>1077.0532196950785</v>
      </c>
      <c r="AI16" s="16">
        <f t="shared" si="16"/>
        <v>1077.0532196950785</v>
      </c>
      <c r="AJ16" s="16">
        <f t="shared" si="16"/>
        <v>991.03534764589381</v>
      </c>
      <c r="AK16" s="16">
        <f t="shared" si="16"/>
        <v>936.82342009433034</v>
      </c>
      <c r="AL16" s="17">
        <f>Z16*GBDNZ!$G67/($T16+$U16+$X16+V16+W16)</f>
        <v>99.629369294089543</v>
      </c>
      <c r="AM16" s="16">
        <f t="shared" si="17"/>
        <v>99.629369294089543</v>
      </c>
      <c r="AN16" s="16">
        <f t="shared" si="17"/>
        <v>99.629369294089543</v>
      </c>
      <c r="AO16" s="16">
        <f t="shared" si="17"/>
        <v>91.672560676307256</v>
      </c>
      <c r="AP16" s="16">
        <f t="shared" si="17"/>
        <v>86.657859404899114</v>
      </c>
      <c r="AQ16" s="17">
        <f t="shared" si="9"/>
        <v>0.36784803572601277</v>
      </c>
      <c r="AR16" s="17">
        <f t="shared" si="10"/>
        <v>8.592406325460388</v>
      </c>
      <c r="AS16" s="17">
        <f t="shared" si="11"/>
        <v>0.79481311347505823</v>
      </c>
      <c r="AT16" s="17">
        <f t="shared" si="18"/>
        <v>9.3872194389354462</v>
      </c>
      <c r="AU16" s="22"/>
      <c r="AV16" s="22"/>
      <c r="AW16" s="22"/>
      <c r="AX16" s="22"/>
    </row>
    <row r="17" spans="1:50" s="13" customFormat="1" ht="13" x14ac:dyDescent="0.3">
      <c r="A17" s="20">
        <v>1</v>
      </c>
      <c r="B17" s="20">
        <v>2</v>
      </c>
      <c r="C17" s="20" t="s">
        <v>35</v>
      </c>
      <c r="D17" s="17">
        <f>Scenario!AN33</f>
        <v>0.28952396631326538</v>
      </c>
      <c r="E17" s="17">
        <f>Scenario!AO33</f>
        <v>0.69041440749405425</v>
      </c>
      <c r="F17" s="17">
        <f>Scenario!AP33</f>
        <v>1.2604147491853572</v>
      </c>
      <c r="G17" s="17">
        <f>Scenario!AQ33</f>
        <v>2.3010025902127014</v>
      </c>
      <c r="H17" s="17">
        <f>Scenario!AR33</f>
        <v>5.4870944198279963</v>
      </c>
      <c r="I17" s="17">
        <f t="shared" si="12"/>
        <v>0.1</v>
      </c>
      <c r="J17" s="17">
        <f t="shared" si="1"/>
        <v>0.1</v>
      </c>
      <c r="K17" s="17">
        <f t="shared" si="1"/>
        <v>0.1</v>
      </c>
      <c r="L17" s="19">
        <f t="shared" si="1"/>
        <v>0.1</v>
      </c>
      <c r="M17" s="17">
        <f t="shared" si="1"/>
        <v>5.4870944198279963</v>
      </c>
      <c r="N17" s="229">
        <f>'Phy activity RRs'!$G$4</f>
        <v>0.93831941951583364</v>
      </c>
      <c r="O17" s="15">
        <f>IF(('user page'!$R$36=0),$N17^(I17^0.25),IF(('user page'!$R$36=1),$N17^(I17^0.5),IF(('user page'!$R$36=2),$N17^(I17^0.375),IF(('user page'!$R$36=4),$N17^(I17),IF(('user page'!$R$36=3),$N17^(LN(1+I17)),"")))))</f>
        <v>0.98006871247951299</v>
      </c>
      <c r="P17" s="15">
        <f>IF(('user page'!$R$36=0),$N17^(J17^0.25),IF(('user page'!$R$36=1),$N17^(J17^0.5),IF(('user page'!$R$36=2),$N17^(J17^0.375),IF(('user page'!$R$36=4),$N17^(J17),IF(('user page'!$R$36=3),$N17^(LN(1+J17)),"")))))</f>
        <v>0.98006871247951299</v>
      </c>
      <c r="Q17" s="15">
        <f>IF(('user page'!$R$36=0),$N17^(K17^0.25),IF(('user page'!$R$36=1),$N17^(K17^0.5),IF(('user page'!$R$36=2),$N17^(K17^0.375),IF(('user page'!$R$36=4),$N17^(K17),IF(('user page'!$R$36=3),$N17^(LN(1+K17)),"")))))</f>
        <v>0.98006871247951299</v>
      </c>
      <c r="R17" s="15">
        <f>IF(('user page'!$R$36=0),$N17^(L17^0.25),IF(('user page'!$R$36=1),$N17^(L17^0.5),IF(('user page'!$R$36=2),$N17^(L17^0.375),IF(('user page'!$R$36=4),$N17^(L17),IF(('user page'!$R$36=3),$N17^(LN(1+L17)),"")))))</f>
        <v>0.98006871247951299</v>
      </c>
      <c r="S17" s="15">
        <f>IF(('user page'!$R$36=0),$N17^(M17^0.25),IF(('user page'!$R$36=1),$N17^(M17^0.5),IF(('user page'!$R$36=2),$N17^(M17^0.375),IF(('user page'!$R$36=4),$N17^(M17),IF(('user page'!$R$36=3),$N17^(LN(1+M17)),"")))))</f>
        <v>0.86145535634812798</v>
      </c>
      <c r="T17" s="18">
        <f t="shared" si="13"/>
        <v>1</v>
      </c>
      <c r="U17" s="18">
        <f t="shared" si="13"/>
        <v>1</v>
      </c>
      <c r="V17" s="18">
        <f t="shared" si="13"/>
        <v>1</v>
      </c>
      <c r="W17" s="183">
        <f t="shared" si="13"/>
        <v>1</v>
      </c>
      <c r="X17" s="324">
        <f t="shared" si="13"/>
        <v>0.87897444881053233</v>
      </c>
      <c r="Y17" s="30">
        <f t="shared" si="8"/>
        <v>-8.1836567127280269E-4</v>
      </c>
      <c r="Z17" s="269">
        <f t="shared" si="14"/>
        <v>1.0008183656712728</v>
      </c>
      <c r="AA17" s="269">
        <f>'Inflammatory HD'!F17</f>
        <v>1</v>
      </c>
      <c r="AB17" s="17">
        <f>Z17*AA17*GBDNZ!$E68/($T17+$U17+$X17+V17+W17)</f>
        <v>101.28282343269113</v>
      </c>
      <c r="AC17" s="16">
        <f t="shared" si="15"/>
        <v>101.28282343269113</v>
      </c>
      <c r="AD17" s="16">
        <f t="shared" si="15"/>
        <v>101.28282343269113</v>
      </c>
      <c r="AE17" s="16">
        <f t="shared" si="15"/>
        <v>101.28282343269113</v>
      </c>
      <c r="AF17" s="16">
        <f t="shared" si="15"/>
        <v>89.025013900724161</v>
      </c>
      <c r="AG17" s="17">
        <f>Z17*AA17*GBDNZ!$F68/($T17+$U17+$X17+V17+W17)</f>
        <v>1499.3982396276822</v>
      </c>
      <c r="AH17" s="16">
        <f t="shared" si="16"/>
        <v>1499.3982396276822</v>
      </c>
      <c r="AI17" s="16">
        <f t="shared" si="16"/>
        <v>1499.3982396276822</v>
      </c>
      <c r="AJ17" s="16">
        <f t="shared" si="16"/>
        <v>1499.3982396276822</v>
      </c>
      <c r="AK17" s="16">
        <f t="shared" si="16"/>
        <v>1317.9327412242244</v>
      </c>
      <c r="AL17" s="17">
        <f>Z17*GBDNZ!$G68/($T17+$U17+$X17+V17+W17)</f>
        <v>96.499508367717397</v>
      </c>
      <c r="AM17" s="16">
        <f t="shared" si="17"/>
        <v>96.499508367717397</v>
      </c>
      <c r="AN17" s="16">
        <f t="shared" si="17"/>
        <v>96.499508367717397</v>
      </c>
      <c r="AO17" s="16">
        <f t="shared" si="17"/>
        <v>96.499508367717397</v>
      </c>
      <c r="AP17" s="16">
        <f t="shared" si="17"/>
        <v>84.820602178001749</v>
      </c>
      <c r="AQ17" s="17">
        <f t="shared" si="9"/>
        <v>0.40406988148882306</v>
      </c>
      <c r="AR17" s="17">
        <f t="shared" si="10"/>
        <v>5.9818797349537363</v>
      </c>
      <c r="AS17" s="17">
        <f t="shared" si="11"/>
        <v>0.38498674887144091</v>
      </c>
      <c r="AT17" s="17">
        <f t="shared" si="18"/>
        <v>6.3668664838251772</v>
      </c>
      <c r="AU17" s="22"/>
      <c r="AV17" s="22"/>
      <c r="AW17" s="22"/>
      <c r="AX17" s="22"/>
    </row>
    <row r="18" spans="1:50" s="13" customFormat="1" ht="13" x14ac:dyDescent="0.3">
      <c r="A18" s="20">
        <v>1</v>
      </c>
      <c r="B18" s="20">
        <v>2</v>
      </c>
      <c r="C18" s="20" t="s">
        <v>34</v>
      </c>
      <c r="D18" s="17">
        <f>Scenario!AN34</f>
        <v>0.16944759244251412</v>
      </c>
      <c r="E18" s="17">
        <f>Scenario!AO34</f>
        <v>0.40407383411883097</v>
      </c>
      <c r="F18" s="17">
        <f>Scenario!AP34</f>
        <v>0.73767380106076064</v>
      </c>
      <c r="G18" s="17">
        <f>Scenario!AQ34</f>
        <v>1.346691101536166</v>
      </c>
      <c r="H18" s="17">
        <f>Scenario!AR34</f>
        <v>3.211391964486249</v>
      </c>
      <c r="I18" s="17">
        <f t="shared" si="12"/>
        <v>0.1</v>
      </c>
      <c r="J18" s="17">
        <f t="shared" si="1"/>
        <v>0.1</v>
      </c>
      <c r="K18" s="17">
        <f t="shared" si="1"/>
        <v>0.1</v>
      </c>
      <c r="L18" s="19">
        <f t="shared" si="1"/>
        <v>0.1</v>
      </c>
      <c r="M18" s="17">
        <f t="shared" si="1"/>
        <v>3.211391964486249</v>
      </c>
      <c r="N18" s="229">
        <f>'Phy activity RRs'!$G$4</f>
        <v>0.93831941951583364</v>
      </c>
      <c r="O18" s="15">
        <f>IF(('user page'!$R$36=0),$N18^(I18^0.25),IF(('user page'!$R$36=1),$N18^(I18^0.5),IF(('user page'!$R$36=2),$N18^(I18^0.375),IF(('user page'!$R$36=4),$N18^(I18),IF(('user page'!$R$36=3),$N18^(LN(1+I18)),"")))))</f>
        <v>0.98006871247951299</v>
      </c>
      <c r="P18" s="15">
        <f>IF(('user page'!$R$36=0),$N18^(J18^0.25),IF(('user page'!$R$36=1),$N18^(J18^0.5),IF(('user page'!$R$36=2),$N18^(J18^0.375),IF(('user page'!$R$36=4),$N18^(J18),IF(('user page'!$R$36=3),$N18^(LN(1+J18)),"")))))</f>
        <v>0.98006871247951299</v>
      </c>
      <c r="Q18" s="15">
        <f>IF(('user page'!$R$36=0),$N18^(K18^0.25),IF(('user page'!$R$36=1),$N18^(K18^0.5),IF(('user page'!$R$36=2),$N18^(K18^0.375),IF(('user page'!$R$36=4),$N18^(K18),IF(('user page'!$R$36=3),$N18^(LN(1+K18)),"")))))</f>
        <v>0.98006871247951299</v>
      </c>
      <c r="R18" s="15">
        <f>IF(('user page'!$R$36=0),$N18^(L18^0.25),IF(('user page'!$R$36=1),$N18^(L18^0.5),IF(('user page'!$R$36=2),$N18^(L18^0.375),IF(('user page'!$R$36=4),$N18^(L18),IF(('user page'!$R$36=3),$N18^(LN(1+L18)),"")))))</f>
        <v>0.98006871247951299</v>
      </c>
      <c r="S18" s="15">
        <f>IF(('user page'!$R$36=0),$N18^(M18^0.25),IF(('user page'!$R$36=1),$N18^(M18^0.5),IF(('user page'!$R$36=2),$N18^(M18^0.375),IF(('user page'!$R$36=4),$N18^(M18),IF(('user page'!$R$36=3),$N18^(LN(1+M18)),"")))))</f>
        <v>0.89217792929702522</v>
      </c>
      <c r="T18" s="18">
        <f t="shared" si="13"/>
        <v>1</v>
      </c>
      <c r="U18" s="18">
        <f t="shared" si="13"/>
        <v>1</v>
      </c>
      <c r="V18" s="18">
        <f t="shared" si="13"/>
        <v>1</v>
      </c>
      <c r="W18" s="183">
        <f t="shared" si="13"/>
        <v>1</v>
      </c>
      <c r="X18" s="324">
        <f t="shared" si="13"/>
        <v>0.91032181513056409</v>
      </c>
      <c r="Y18" s="30">
        <f t="shared" si="8"/>
        <v>-7.3259072966491701E-4</v>
      </c>
      <c r="Z18" s="269">
        <f t="shared" si="14"/>
        <v>1.0007325907296649</v>
      </c>
      <c r="AA18" s="269">
        <f>'Inflammatory HD'!F18</f>
        <v>1</v>
      </c>
      <c r="AB18" s="17">
        <f>Z18*AA18*GBDNZ!$E69/($T18+$U18+$X18+V18+W18)</f>
        <v>447.13260774991232</v>
      </c>
      <c r="AC18" s="16">
        <f t="shared" si="15"/>
        <v>447.13260774991232</v>
      </c>
      <c r="AD18" s="16">
        <f t="shared" si="15"/>
        <v>447.13260774991232</v>
      </c>
      <c r="AE18" s="16">
        <f t="shared" si="15"/>
        <v>447.13260774991232</v>
      </c>
      <c r="AF18" s="16">
        <f t="shared" si="15"/>
        <v>407.0345670909627</v>
      </c>
      <c r="AG18" s="17">
        <f>Z18*AA18*GBDNZ!$F69/($T18+$U18+$X18+V18+W18)</f>
        <v>2553.3331677213787</v>
      </c>
      <c r="AH18" s="16">
        <f t="shared" si="16"/>
        <v>2553.3331677213787</v>
      </c>
      <c r="AI18" s="16">
        <f t="shared" si="16"/>
        <v>2553.3331677213787</v>
      </c>
      <c r="AJ18" s="16">
        <f t="shared" si="16"/>
        <v>2553.3331677213787</v>
      </c>
      <c r="AK18" s="16">
        <f t="shared" si="16"/>
        <v>2324.3548838731986</v>
      </c>
      <c r="AL18" s="17">
        <f>Z18*GBDNZ!$G69/($T18+$U18+$X18+V18+W18)</f>
        <v>119.30642340203106</v>
      </c>
      <c r="AM18" s="16">
        <f t="shared" si="17"/>
        <v>119.30642340203106</v>
      </c>
      <c r="AN18" s="16">
        <f t="shared" si="17"/>
        <v>119.30642340203106</v>
      </c>
      <c r="AO18" s="16">
        <f t="shared" si="17"/>
        <v>119.30642340203106</v>
      </c>
      <c r="AP18" s="16">
        <f t="shared" si="17"/>
        <v>108.60723990807253</v>
      </c>
      <c r="AQ18" s="17">
        <f t="shared" si="9"/>
        <v>1.6072730906114998</v>
      </c>
      <c r="AR18" s="17">
        <f t="shared" si="10"/>
        <v>9.1782697587127586</v>
      </c>
      <c r="AS18" s="17">
        <f t="shared" si="11"/>
        <v>0.4288615961967821</v>
      </c>
      <c r="AT18" s="17">
        <f t="shared" si="18"/>
        <v>9.6071313549095407</v>
      </c>
      <c r="AU18" s="22"/>
      <c r="AV18" s="22"/>
      <c r="AW18" s="22"/>
      <c r="AX18" s="22"/>
    </row>
    <row r="19" spans="1:50" s="13" customFormat="1" ht="13" x14ac:dyDescent="0.3">
      <c r="A19" s="20"/>
      <c r="B19" s="20"/>
      <c r="C19" s="20"/>
      <c r="D19" s="17"/>
      <c r="E19" s="16"/>
      <c r="F19" s="17"/>
      <c r="G19" s="16"/>
      <c r="H19" s="17"/>
      <c r="I19" s="17"/>
      <c r="J19" s="17"/>
      <c r="K19" s="17"/>
      <c r="L19" s="19"/>
      <c r="M19" s="17"/>
      <c r="N19" s="229"/>
      <c r="O19" s="15"/>
      <c r="P19" s="15"/>
      <c r="Q19" s="15"/>
      <c r="R19" s="15"/>
      <c r="S19" s="15"/>
      <c r="T19" s="18"/>
      <c r="U19" s="18"/>
      <c r="V19" s="18"/>
      <c r="W19" s="183"/>
      <c r="X19" s="325"/>
      <c r="Y19" s="18"/>
      <c r="Z19" s="16"/>
      <c r="AA19" s="230"/>
      <c r="AB19" s="17"/>
      <c r="AC19" s="16"/>
      <c r="AD19" s="16"/>
      <c r="AE19" s="16"/>
      <c r="AF19" s="16"/>
      <c r="AG19" s="17"/>
      <c r="AH19" s="16"/>
      <c r="AI19" s="16"/>
      <c r="AJ19" s="16"/>
      <c r="AK19" s="16"/>
      <c r="AL19" s="17"/>
      <c r="AM19" s="16"/>
      <c r="AN19" s="16"/>
      <c r="AO19" s="16"/>
      <c r="AP19" s="16"/>
      <c r="AQ19" s="21">
        <f>SUM(AQ3:AQ18)</f>
        <v>6.9523600009984836</v>
      </c>
      <c r="AR19" s="21">
        <f>SUM(AR3:AR18)</f>
        <v>100.5508298968181</v>
      </c>
      <c r="AS19" s="21">
        <f>SUM(AS3:AS18)</f>
        <v>5.2641052231583032</v>
      </c>
      <c r="AT19" s="21">
        <f>SUM(AT3:AT18)</f>
        <v>105.8149351199764</v>
      </c>
      <c r="AU19" s="22"/>
      <c r="AV19" s="22"/>
      <c r="AW19" s="22"/>
      <c r="AX19" s="22"/>
    </row>
    <row r="20" spans="1:50" s="13" customFormat="1" ht="13" x14ac:dyDescent="0.3">
      <c r="A20" s="20">
        <v>0</v>
      </c>
      <c r="B20" s="20">
        <v>1</v>
      </c>
      <c r="C20" s="20" t="s">
        <v>2</v>
      </c>
      <c r="D20" s="17"/>
      <c r="E20" s="17"/>
      <c r="F20" s="17"/>
      <c r="G20" s="17"/>
      <c r="H20" s="17"/>
      <c r="I20" s="17"/>
      <c r="J20" s="17"/>
      <c r="K20" s="17"/>
      <c r="L20" s="19"/>
      <c r="M20" s="17"/>
      <c r="N20" s="229"/>
      <c r="O20" s="15"/>
      <c r="P20" s="15"/>
      <c r="Q20" s="15"/>
      <c r="R20" s="15"/>
      <c r="S20" s="15"/>
      <c r="T20" s="18"/>
      <c r="U20" s="18"/>
      <c r="V20" s="18"/>
      <c r="W20" s="183"/>
      <c r="X20" s="324"/>
      <c r="Y20" s="18"/>
      <c r="Z20" s="16"/>
      <c r="AA20" s="16"/>
      <c r="AB20" s="17"/>
      <c r="AC20" s="16"/>
      <c r="AD20" s="16"/>
      <c r="AE20" s="16"/>
      <c r="AF20" s="16"/>
      <c r="AG20" s="17"/>
      <c r="AH20" s="16"/>
      <c r="AI20" s="16"/>
      <c r="AJ20" s="16"/>
      <c r="AK20" s="16"/>
      <c r="AL20" s="17"/>
      <c r="AM20" s="16"/>
      <c r="AN20" s="16"/>
      <c r="AO20" s="16"/>
      <c r="AP20" s="16"/>
      <c r="AQ20" s="32">
        <f>AQ19/GBDNZ!E70</f>
        <v>1.0315867570894707E-3</v>
      </c>
      <c r="AR20" s="32">
        <f>AR19/GBDNZ!F70</f>
        <v>1.2085656453146769E-3</v>
      </c>
      <c r="AS20" s="32">
        <f>AS19/GBDNZ!G70</f>
        <v>1.2443407729317653E-3</v>
      </c>
      <c r="AT20" s="32">
        <f>AT19/GBDNZ!H70</f>
        <v>1.2102967020485079E-3</v>
      </c>
      <c r="AU20" s="14"/>
      <c r="AV20" s="14"/>
      <c r="AW20" s="14"/>
      <c r="AX20" s="14"/>
    </row>
    <row r="21" spans="1:50" s="13" customFormat="1" ht="13" x14ac:dyDescent="0.3">
      <c r="A21" s="20">
        <v>0</v>
      </c>
      <c r="B21" s="20">
        <v>1</v>
      </c>
      <c r="C21" s="20" t="s">
        <v>40</v>
      </c>
      <c r="D21" s="17"/>
      <c r="E21" s="17"/>
      <c r="F21" s="17"/>
      <c r="G21" s="17"/>
      <c r="H21" s="17"/>
      <c r="I21" s="17"/>
      <c r="J21" s="17"/>
      <c r="K21" s="17"/>
      <c r="L21" s="19"/>
      <c r="M21" s="17"/>
      <c r="N21" s="229"/>
      <c r="O21" s="15"/>
      <c r="P21" s="15"/>
      <c r="Q21" s="15"/>
      <c r="R21" s="15"/>
      <c r="S21" s="15"/>
      <c r="T21" s="18"/>
      <c r="U21" s="18"/>
      <c r="V21" s="18"/>
      <c r="W21" s="183"/>
      <c r="X21" s="324"/>
      <c r="Y21" s="18"/>
      <c r="Z21" s="16"/>
      <c r="AA21" s="16"/>
      <c r="AB21" s="17"/>
      <c r="AC21" s="16"/>
      <c r="AD21" s="16"/>
      <c r="AE21" s="16"/>
      <c r="AF21" s="16"/>
      <c r="AG21" s="17"/>
      <c r="AH21" s="16"/>
      <c r="AI21" s="16"/>
      <c r="AJ21" s="16"/>
      <c r="AK21" s="16"/>
      <c r="AL21" s="17"/>
      <c r="AM21" s="16"/>
      <c r="AN21" s="16"/>
      <c r="AO21" s="16"/>
      <c r="AP21" s="16"/>
      <c r="AQ21" s="15"/>
      <c r="AR21" s="15"/>
      <c r="AS21" s="15"/>
      <c r="AT21" s="15"/>
      <c r="AU21" s="14"/>
      <c r="AV21" s="14"/>
      <c r="AW21" s="14"/>
      <c r="AX21" s="14"/>
    </row>
    <row r="22" spans="1:50" s="13" customFormat="1" ht="13" x14ac:dyDescent="0.3">
      <c r="A22" s="20">
        <v>0</v>
      </c>
      <c r="B22" s="20">
        <v>1</v>
      </c>
      <c r="C22" s="20" t="s">
        <v>39</v>
      </c>
      <c r="D22" s="17">
        <f>Baseline!AN21</f>
        <v>0.39368586167290764</v>
      </c>
      <c r="E22" s="17">
        <f>Baseline!AO21</f>
        <v>0.93738511466315355</v>
      </c>
      <c r="F22" s="17">
        <f>Baseline!AP21</f>
        <v>1.7094900770477317</v>
      </c>
      <c r="G22" s="17">
        <f>Baseline!AQ21</f>
        <v>3.117562118078649</v>
      </c>
      <c r="H22" s="17">
        <f>Baseline!AR21</f>
        <v>7.4230664802300845</v>
      </c>
      <c r="I22" s="17">
        <f t="shared" ref="I22:M27" si="19">IF(D22&gt;2.5,D22,0.1)</f>
        <v>0.1</v>
      </c>
      <c r="J22" s="17">
        <f t="shared" si="19"/>
        <v>0.1</v>
      </c>
      <c r="K22" s="17">
        <f t="shared" si="19"/>
        <v>0.1</v>
      </c>
      <c r="L22" s="19">
        <f t="shared" si="19"/>
        <v>3.117562118078649</v>
      </c>
      <c r="M22" s="17">
        <f t="shared" si="19"/>
        <v>7.4230664802300845</v>
      </c>
      <c r="N22" s="229">
        <f>'Phy activity RRs'!$G$4</f>
        <v>0.93831941951583364</v>
      </c>
      <c r="O22" s="15">
        <f>IF(('user page'!$R$36=0),$N22^(I22^0.25),IF(('user page'!$R$36=1),$N22^(I22^0.5),IF(('user page'!$R$36=2),$N22^(I22^0.375),IF(('user page'!$R$36=4),$N22^(I22),IF(('user page'!$R$36=3),$N22^(LN(1+I22)),"")))))</f>
        <v>0.98006871247951299</v>
      </c>
      <c r="P22" s="15">
        <f>IF(('user page'!$R$36=0),$N22^(J22^0.25),IF(('user page'!$R$36=1),$N22^(J22^0.5),IF(('user page'!$R$36=2),$N22^(J22^0.375),IF(('user page'!$R$36=4),$N22^(J22),IF(('user page'!$R$36=3),$N22^(LN(1+J22)),"")))))</f>
        <v>0.98006871247951299</v>
      </c>
      <c r="Q22" s="15">
        <f>IF(('user page'!$R$36=0),$N22^(K22^0.25),IF(('user page'!$R$36=1),$N22^(K22^0.5),IF(('user page'!$R$36=2),$N22^(K22^0.375),IF(('user page'!$R$36=4),$N22^(K22),IF(('user page'!$R$36=3),$N22^(LN(1+K22)),"")))))</f>
        <v>0.98006871247951299</v>
      </c>
      <c r="R22" s="15">
        <f>IF(('user page'!$R$36=0),$N22^(L22^0.25),IF(('user page'!$R$36=1),$N22^(L22^0.5),IF(('user page'!$R$36=2),$N22^(L22^0.375),IF(('user page'!$R$36=4),$N22^(L22),IF(('user page'!$R$36=3),$N22^(LN(1+L22)),"")))))</f>
        <v>0.89367722694460117</v>
      </c>
      <c r="S22" s="15">
        <f>IF(('user page'!$R$36=0),$N22^(M22^0.25),IF(('user page'!$R$36=1),$N22^(M22^0.5),IF(('user page'!$R$36=2),$N22^(M22^0.375),IF(('user page'!$R$36=4),$N22^(M22),IF(('user page'!$R$36=3),$N22^(LN(1+M22)),"")))))</f>
        <v>0.84075343666477897</v>
      </c>
      <c r="T22" s="18">
        <f t="shared" ref="T22:X27" si="20">O22/$O22</f>
        <v>1</v>
      </c>
      <c r="U22" s="18">
        <f t="shared" si="20"/>
        <v>1</v>
      </c>
      <c r="V22" s="18">
        <f t="shared" si="20"/>
        <v>1</v>
      </c>
      <c r="W22" s="183">
        <f t="shared" si="20"/>
        <v>0.91185160342855276</v>
      </c>
      <c r="X22" s="324">
        <f t="shared" si="20"/>
        <v>0.85785152199964121</v>
      </c>
      <c r="Y22" s="18"/>
      <c r="Z22" s="16"/>
      <c r="AA22" s="16"/>
      <c r="AB22" s="17">
        <f>GBDNZ!E56/($T22+$U22+$X22+V22+W22)</f>
        <v>0.76217796737058763</v>
      </c>
      <c r="AC22" s="16">
        <f t="shared" ref="AC22:AF27" si="21">$AB22*U22</f>
        <v>0.76217796737058763</v>
      </c>
      <c r="AD22" s="16">
        <f t="shared" si="21"/>
        <v>0.76217796737058763</v>
      </c>
      <c r="AE22" s="16">
        <f t="shared" si="21"/>
        <v>0.69499320164478551</v>
      </c>
      <c r="AF22" s="16">
        <f t="shared" si="21"/>
        <v>0.65383552934345146</v>
      </c>
      <c r="AG22" s="17">
        <f>GBDNZ!F56/($T22+$U22+$X22+V22+W22)</f>
        <v>47.131027767858981</v>
      </c>
      <c r="AH22" s="16">
        <f t="shared" ref="AH22:AK27" si="22">$AG22*U22</f>
        <v>47.131027767858981</v>
      </c>
      <c r="AI22" s="16">
        <f t="shared" si="22"/>
        <v>47.131027767858981</v>
      </c>
      <c r="AJ22" s="16">
        <f t="shared" si="22"/>
        <v>42.976503241357854</v>
      </c>
      <c r="AK22" s="16">
        <f t="shared" si="22"/>
        <v>40.431423904065177</v>
      </c>
      <c r="AL22" s="17">
        <f>GBDNZ!G56/($T22+$U22+$X22+V22+W22)</f>
        <v>0.22233017699708502</v>
      </c>
      <c r="AM22" s="16">
        <f t="shared" ref="AM22:AP27" si="23">U22*$AL22</f>
        <v>0.22233017699708502</v>
      </c>
      <c r="AN22" s="16">
        <f t="shared" si="23"/>
        <v>0.22233017699708502</v>
      </c>
      <c r="AO22" s="16">
        <f t="shared" si="23"/>
        <v>0.20273212838534591</v>
      </c>
      <c r="AP22" s="16">
        <f t="shared" si="23"/>
        <v>0.19072628072339901</v>
      </c>
      <c r="AQ22" s="15"/>
      <c r="AR22" s="15"/>
      <c r="AS22" s="15"/>
      <c r="AT22" s="15"/>
      <c r="AU22" s="14"/>
      <c r="AV22" s="14"/>
      <c r="AW22" s="14"/>
      <c r="AX22" s="14"/>
    </row>
    <row r="23" spans="1:50" s="13" customFormat="1" ht="13" x14ac:dyDescent="0.3">
      <c r="A23" s="20">
        <v>0</v>
      </c>
      <c r="B23" s="20">
        <v>1</v>
      </c>
      <c r="C23" s="20" t="s">
        <v>38</v>
      </c>
      <c r="D23" s="17">
        <f>Baseline!AN22</f>
        <v>0.25162211131265011</v>
      </c>
      <c r="E23" s="17">
        <f>Baseline!AO22</f>
        <v>0.59912444064491777</v>
      </c>
      <c r="F23" s="17">
        <f>Baseline!AP22</f>
        <v>1.092610998594</v>
      </c>
      <c r="G23" s="17">
        <f>Baseline!AQ22</f>
        <v>1.9925723493495484</v>
      </c>
      <c r="H23" s="17">
        <f>Baseline!AR22</f>
        <v>4.7444113238730328</v>
      </c>
      <c r="I23" s="17">
        <f t="shared" si="19"/>
        <v>0.1</v>
      </c>
      <c r="J23" s="17">
        <f t="shared" si="19"/>
        <v>0.1</v>
      </c>
      <c r="K23" s="17">
        <f t="shared" si="19"/>
        <v>0.1</v>
      </c>
      <c r="L23" s="19">
        <f t="shared" si="19"/>
        <v>0.1</v>
      </c>
      <c r="M23" s="17">
        <f t="shared" si="19"/>
        <v>4.7444113238730328</v>
      </c>
      <c r="N23" s="229">
        <f>'Phy activity RRs'!$G$4</f>
        <v>0.93831941951583364</v>
      </c>
      <c r="O23" s="15">
        <f>IF(('user page'!$R$36=0),$N23^(I23^0.25),IF(('user page'!$R$36=1),$N23^(I23^0.5),IF(('user page'!$R$36=2),$N23^(I23^0.375),IF(('user page'!$R$36=4),$N23^(I23),IF(('user page'!$R$36=3),$N23^(LN(1+I23)),"")))))</f>
        <v>0.98006871247951299</v>
      </c>
      <c r="P23" s="15">
        <f>IF(('user page'!$R$36=0),$N23^(J23^0.25),IF(('user page'!$R$36=1),$N23^(J23^0.5),IF(('user page'!$R$36=2),$N23^(J23^0.375),IF(('user page'!$R$36=4),$N23^(J23),IF(('user page'!$R$36=3),$N23^(LN(1+J23)),"")))))</f>
        <v>0.98006871247951299</v>
      </c>
      <c r="Q23" s="15">
        <f>IF(('user page'!$R$36=0),$N23^(K23^0.25),IF(('user page'!$R$36=1),$N23^(K23^0.5),IF(('user page'!$R$36=2),$N23^(K23^0.375),IF(('user page'!$R$36=4),$N23^(K23),IF(('user page'!$R$36=3),$N23^(LN(1+K23)),"")))))</f>
        <v>0.98006871247951299</v>
      </c>
      <c r="R23" s="15">
        <f>IF(('user page'!$R$36=0),$N23^(L23^0.25),IF(('user page'!$R$36=1),$N23^(L23^0.5),IF(('user page'!$R$36=2),$N23^(L23^0.375),IF(('user page'!$R$36=4),$N23^(L23),IF(('user page'!$R$36=3),$N23^(LN(1+L23)),"")))))</f>
        <v>0.98006871247951299</v>
      </c>
      <c r="S23" s="15">
        <f>IF(('user page'!$R$36=0),$N23^(M23^0.25),IF(('user page'!$R$36=1),$N23^(M23^0.5),IF(('user page'!$R$36=2),$N23^(M23^0.375),IF(('user page'!$R$36=4),$N23^(M23),IF(('user page'!$R$36=3),$N23^(LN(1+M23)),"")))))</f>
        <v>0.87051291390911345</v>
      </c>
      <c r="T23" s="18">
        <f t="shared" si="20"/>
        <v>1</v>
      </c>
      <c r="U23" s="18">
        <f t="shared" si="20"/>
        <v>1</v>
      </c>
      <c r="V23" s="18">
        <f t="shared" si="20"/>
        <v>1</v>
      </c>
      <c r="W23" s="183">
        <f t="shared" si="20"/>
        <v>1</v>
      </c>
      <c r="X23" s="324">
        <f t="shared" si="20"/>
        <v>0.888216206501246</v>
      </c>
      <c r="Y23" s="18"/>
      <c r="Z23" s="16"/>
      <c r="AA23" s="16"/>
      <c r="AB23" s="17">
        <f>GBDNZ!E57/($T23+$U23+$X23+V23+W23)</f>
        <v>12.231463018550661</v>
      </c>
      <c r="AC23" s="16">
        <f t="shared" si="21"/>
        <v>12.231463018550661</v>
      </c>
      <c r="AD23" s="16">
        <f t="shared" si="21"/>
        <v>12.231463018550661</v>
      </c>
      <c r="AE23" s="16">
        <f t="shared" si="21"/>
        <v>12.231463018550661</v>
      </c>
      <c r="AF23" s="16">
        <f t="shared" si="21"/>
        <v>10.864183682297348</v>
      </c>
      <c r="AG23" s="17">
        <f>GBDNZ!F57/($T23+$U23+$X23+V23+W23)</f>
        <v>573.44738466598051</v>
      </c>
      <c r="AH23" s="16">
        <f t="shared" si="22"/>
        <v>573.44738466598051</v>
      </c>
      <c r="AI23" s="16">
        <f t="shared" si="22"/>
        <v>573.44738466598051</v>
      </c>
      <c r="AJ23" s="16">
        <f t="shared" si="22"/>
        <v>573.44738466598051</v>
      </c>
      <c r="AK23" s="16">
        <f t="shared" si="22"/>
        <v>509.34526063607797</v>
      </c>
      <c r="AL23" s="17">
        <f>GBDNZ!G57/($T23+$U23+$X23+V23+W23)</f>
        <v>2.7511478072745863</v>
      </c>
      <c r="AM23" s="16">
        <f t="shared" si="23"/>
        <v>2.7511478072745863</v>
      </c>
      <c r="AN23" s="16">
        <f t="shared" si="23"/>
        <v>2.7511478072745863</v>
      </c>
      <c r="AO23" s="16">
        <f t="shared" si="23"/>
        <v>2.7511478072745863</v>
      </c>
      <c r="AP23" s="16">
        <f t="shared" si="23"/>
        <v>2.4436140689016539</v>
      </c>
      <c r="AQ23" s="15"/>
      <c r="AR23" s="15"/>
      <c r="AS23" s="15"/>
      <c r="AT23" s="15"/>
      <c r="AU23" s="14"/>
      <c r="AV23" s="14"/>
      <c r="AW23" s="14"/>
      <c r="AX23" s="14"/>
    </row>
    <row r="24" spans="1:50" s="13" customFormat="1" ht="13" x14ac:dyDescent="0.3">
      <c r="A24" s="20">
        <v>0</v>
      </c>
      <c r="B24" s="20">
        <v>1</v>
      </c>
      <c r="C24" s="20" t="s">
        <v>37</v>
      </c>
      <c r="D24" s="17">
        <f>Baseline!AN23</f>
        <v>0.44656832716641398</v>
      </c>
      <c r="E24" s="17">
        <f>Baseline!AO23</f>
        <v>1.0633008276878868</v>
      </c>
      <c r="F24" s="17">
        <f>Baseline!AP23</f>
        <v>1.9391199896557647</v>
      </c>
      <c r="G24" s="17">
        <f>Baseline!AQ23</f>
        <v>3.5363334969455225</v>
      </c>
      <c r="H24" s="17">
        <f>Baseline!AR23</f>
        <v>8.4201814269764306</v>
      </c>
      <c r="I24" s="17">
        <f t="shared" si="19"/>
        <v>0.1</v>
      </c>
      <c r="J24" s="17">
        <f t="shared" si="19"/>
        <v>0.1</v>
      </c>
      <c r="K24" s="17">
        <f t="shared" si="19"/>
        <v>0.1</v>
      </c>
      <c r="L24" s="19">
        <f t="shared" si="19"/>
        <v>3.5363334969455225</v>
      </c>
      <c r="M24" s="17">
        <f t="shared" si="19"/>
        <v>8.4201814269764306</v>
      </c>
      <c r="N24" s="229">
        <f>'Phy activity RRs'!$G$4</f>
        <v>0.93831941951583364</v>
      </c>
      <c r="O24" s="15">
        <f>IF(('user page'!$R$36=0),$N24^(I24^0.25),IF(('user page'!$R$36=1),$N24^(I24^0.5),IF(('user page'!$R$36=2),$N24^(I24^0.375),IF(('user page'!$R$36=4),$N24^(I24),IF(('user page'!$R$36=3),$N24^(LN(1+I24)),"")))))</f>
        <v>0.98006871247951299</v>
      </c>
      <c r="P24" s="15">
        <f>IF(('user page'!$R$36=0),$N24^(J24^0.25),IF(('user page'!$R$36=1),$N24^(J24^0.5),IF(('user page'!$R$36=2),$N24^(J24^0.375),IF(('user page'!$R$36=4),$N24^(J24),IF(('user page'!$R$36=3),$N24^(LN(1+J24)),"")))))</f>
        <v>0.98006871247951299</v>
      </c>
      <c r="Q24" s="15">
        <f>IF(('user page'!$R$36=0),$N24^(K24^0.25),IF(('user page'!$R$36=1),$N24^(K24^0.5),IF(('user page'!$R$36=2),$N24^(K24^0.375),IF(('user page'!$R$36=4),$N24^(K24),IF(('user page'!$R$36=3),$N24^(LN(1+K24)),"")))))</f>
        <v>0.98006871247951299</v>
      </c>
      <c r="R24" s="15">
        <f>IF(('user page'!$R$36=0),$N24^(L24^0.25),IF(('user page'!$R$36=1),$N24^(L24^0.5),IF(('user page'!$R$36=2),$N24^(L24^0.375),IF(('user page'!$R$36=4),$N24^(L24),IF(('user page'!$R$36=3),$N24^(LN(1+L24)),"")))))</f>
        <v>0.88716644762093189</v>
      </c>
      <c r="S24" s="15">
        <f>IF(('user page'!$R$36=0),$N24^(M24^0.25),IF(('user page'!$R$36=1),$N24^(M24^0.5),IF(('user page'!$R$36=2),$N24^(M24^0.375),IF(('user page'!$R$36=4),$N24^(M24),IF(('user page'!$R$36=3),$N24^(LN(1+M24)),"")))))</f>
        <v>0.83132056087671058</v>
      </c>
      <c r="T24" s="18">
        <f t="shared" si="20"/>
        <v>1</v>
      </c>
      <c r="U24" s="18">
        <f t="shared" si="20"/>
        <v>1</v>
      </c>
      <c r="V24" s="18">
        <f t="shared" si="20"/>
        <v>1</v>
      </c>
      <c r="W24" s="183">
        <f t="shared" si="20"/>
        <v>0.90520841684299447</v>
      </c>
      <c r="X24" s="324">
        <f t="shared" si="20"/>
        <v>0.84822681337670824</v>
      </c>
      <c r="Y24" s="18"/>
      <c r="Z24" s="16"/>
      <c r="AA24" s="16"/>
      <c r="AB24" s="17">
        <f>GBDNZ!E58/($T24+$U24+$X24+V24+W24)</f>
        <v>76.731508648144953</v>
      </c>
      <c r="AC24" s="16">
        <f t="shared" si="21"/>
        <v>76.731508648144953</v>
      </c>
      <c r="AD24" s="16">
        <f t="shared" si="21"/>
        <v>76.731508648144953</v>
      </c>
      <c r="AE24" s="16">
        <f t="shared" si="21"/>
        <v>69.458007465361831</v>
      </c>
      <c r="AF24" s="16">
        <f t="shared" si="21"/>
        <v>65.085723066203329</v>
      </c>
      <c r="AG24" s="17">
        <f>GBDNZ!F58/($T24+$U24+$X24+V24+W24)</f>
        <v>2614.5519810786564</v>
      </c>
      <c r="AH24" s="16">
        <f t="shared" si="22"/>
        <v>2614.5519810786564</v>
      </c>
      <c r="AI24" s="16">
        <f t="shared" si="22"/>
        <v>2614.5519810786564</v>
      </c>
      <c r="AJ24" s="16">
        <f t="shared" si="22"/>
        <v>2366.7144595459254</v>
      </c>
      <c r="AK24" s="16">
        <f t="shared" si="22"/>
        <v>2217.7330953181081</v>
      </c>
      <c r="AL24" s="17">
        <f>GBDNZ!G58/($T24+$U24+$X24+V24+W24)</f>
        <v>84.355315551331685</v>
      </c>
      <c r="AM24" s="16">
        <f t="shared" si="23"/>
        <v>84.355315551331685</v>
      </c>
      <c r="AN24" s="16">
        <f t="shared" si="23"/>
        <v>84.355315551331685</v>
      </c>
      <c r="AO24" s="16">
        <f t="shared" si="23"/>
        <v>76.359141642512185</v>
      </c>
      <c r="AP24" s="16">
        <f t="shared" si="23"/>
        <v>71.552440501492754</v>
      </c>
      <c r="AQ24" s="15"/>
      <c r="AR24" s="15"/>
      <c r="AS24" s="15"/>
      <c r="AT24" s="15"/>
      <c r="AU24" s="14"/>
      <c r="AV24" s="14"/>
      <c r="AW24" s="14"/>
      <c r="AX24" s="14"/>
    </row>
    <row r="25" spans="1:50" s="13" customFormat="1" ht="13" x14ac:dyDescent="0.3">
      <c r="A25" s="20">
        <v>0</v>
      </c>
      <c r="B25" s="20">
        <v>1</v>
      </c>
      <c r="C25" s="20" t="s">
        <v>36</v>
      </c>
      <c r="D25" s="17">
        <f>Baseline!AN24</f>
        <v>0.42413880257562148</v>
      </c>
      <c r="E25" s="17">
        <f>Baseline!AO24</f>
        <v>1.009895042702271</v>
      </c>
      <c r="F25" s="17">
        <f>Baseline!AP24</f>
        <v>1.8417249509873066</v>
      </c>
      <c r="G25" s="17">
        <f>Baseline!AQ24</f>
        <v>3.3587161553076208</v>
      </c>
      <c r="H25" s="17">
        <f>Baseline!AR24</f>
        <v>7.99726592919881</v>
      </c>
      <c r="I25" s="17">
        <f t="shared" si="19"/>
        <v>0.1</v>
      </c>
      <c r="J25" s="17">
        <f t="shared" si="19"/>
        <v>0.1</v>
      </c>
      <c r="K25" s="17">
        <f t="shared" si="19"/>
        <v>0.1</v>
      </c>
      <c r="L25" s="19">
        <f t="shared" si="19"/>
        <v>3.3587161553076208</v>
      </c>
      <c r="M25" s="17">
        <f t="shared" si="19"/>
        <v>7.99726592919881</v>
      </c>
      <c r="N25" s="229">
        <f>'Phy activity RRs'!$G$4</f>
        <v>0.93831941951583364</v>
      </c>
      <c r="O25" s="15">
        <f>IF(('user page'!$R$36=0),$N25^(I25^0.25),IF(('user page'!$R$36=1),$N25^(I25^0.5),IF(('user page'!$R$36=2),$N25^(I25^0.375),IF(('user page'!$R$36=4),$N25^(I25),IF(('user page'!$R$36=3),$N25^(LN(1+I25)),"")))))</f>
        <v>0.98006871247951299</v>
      </c>
      <c r="P25" s="15">
        <f>IF(('user page'!$R$36=0),$N25^(J25^0.25),IF(('user page'!$R$36=1),$N25^(J25^0.5),IF(('user page'!$R$36=2),$N25^(J25^0.375),IF(('user page'!$R$36=4),$N25^(J25),IF(('user page'!$R$36=3),$N25^(LN(1+J25)),"")))))</f>
        <v>0.98006871247951299</v>
      </c>
      <c r="Q25" s="15">
        <f>IF(('user page'!$R$36=0),$N25^(K25^0.25),IF(('user page'!$R$36=1),$N25^(K25^0.5),IF(('user page'!$R$36=2),$N25^(K25^0.375),IF(('user page'!$R$36=4),$N25^(K25),IF(('user page'!$R$36=3),$N25^(LN(1+K25)),"")))))</f>
        <v>0.98006871247951299</v>
      </c>
      <c r="R25" s="15">
        <f>IF(('user page'!$R$36=0),$N25^(L25^0.25),IF(('user page'!$R$36=1),$N25^(L25^0.5),IF(('user page'!$R$36=2),$N25^(L25^0.375),IF(('user page'!$R$36=4),$N25^(L25),IF(('user page'!$R$36=3),$N25^(LN(1+L25)),"")))))</f>
        <v>0.88987229953605174</v>
      </c>
      <c r="S25" s="15">
        <f>IF(('user page'!$R$36=0),$N25^(M25^0.25),IF(('user page'!$R$36=1),$N25^(M25^0.5),IF(('user page'!$R$36=2),$N25^(M25^0.375),IF(('user page'!$R$36=4),$N25^(M25),IF(('user page'!$R$36=3),$N25^(LN(1+M25)),"")))))</f>
        <v>0.83523627439520742</v>
      </c>
      <c r="T25" s="18">
        <f t="shared" si="20"/>
        <v>1</v>
      </c>
      <c r="U25" s="18">
        <f t="shared" si="20"/>
        <v>1</v>
      </c>
      <c r="V25" s="18">
        <f t="shared" si="20"/>
        <v>1</v>
      </c>
      <c r="W25" s="183">
        <f t="shared" si="20"/>
        <v>0.90796929664730353</v>
      </c>
      <c r="X25" s="324">
        <f t="shared" si="20"/>
        <v>0.85222215928321143</v>
      </c>
      <c r="Y25" s="18"/>
      <c r="Z25" s="16"/>
      <c r="AA25" s="16"/>
      <c r="AB25" s="17">
        <f>GBDNZ!E59/($T25+$U25+$X25+V25+W25)</f>
        <v>124.39921171495082</v>
      </c>
      <c r="AC25" s="16">
        <f t="shared" si="21"/>
        <v>124.39921171495082</v>
      </c>
      <c r="AD25" s="16">
        <f t="shared" si="21"/>
        <v>124.39921171495082</v>
      </c>
      <c r="AE25" s="16">
        <f t="shared" si="21"/>
        <v>112.9506647643029</v>
      </c>
      <c r="AF25" s="16">
        <f t="shared" si="21"/>
        <v>106.01576482084477</v>
      </c>
      <c r="AG25" s="17">
        <f>GBDNZ!F59/($T25+$U25+$X25+V25+W25)</f>
        <v>2927.2590731912364</v>
      </c>
      <c r="AH25" s="16">
        <f t="shared" si="22"/>
        <v>2927.2590731912364</v>
      </c>
      <c r="AI25" s="16">
        <f t="shared" si="22"/>
        <v>2927.2590731912364</v>
      </c>
      <c r="AJ25" s="16">
        <f t="shared" si="22"/>
        <v>2657.8613617898845</v>
      </c>
      <c r="AK25" s="16">
        <f t="shared" si="22"/>
        <v>2494.6750481364079</v>
      </c>
      <c r="AL25" s="17">
        <f>GBDNZ!G59/($T25+$U25+$X25+V25+W25)</f>
        <v>173.96152189809899</v>
      </c>
      <c r="AM25" s="16">
        <f t="shared" si="23"/>
        <v>173.96152189809899</v>
      </c>
      <c r="AN25" s="16">
        <f t="shared" si="23"/>
        <v>173.96152189809899</v>
      </c>
      <c r="AO25" s="16">
        <f t="shared" si="23"/>
        <v>157.95172068151143</v>
      </c>
      <c r="AP25" s="16">
        <f t="shared" si="23"/>
        <v>148.2538638241916</v>
      </c>
      <c r="AQ25" s="15"/>
      <c r="AR25" s="15"/>
      <c r="AS25" s="15"/>
      <c r="AT25" s="15"/>
      <c r="AU25" s="14"/>
      <c r="AV25" s="14"/>
      <c r="AW25" s="14"/>
      <c r="AX25" s="14"/>
    </row>
    <row r="26" spans="1:50" s="13" customFormat="1" ht="13" x14ac:dyDescent="0.3">
      <c r="A26" s="20">
        <v>0</v>
      </c>
      <c r="B26" s="20">
        <v>1</v>
      </c>
      <c r="C26" s="20" t="s">
        <v>35</v>
      </c>
      <c r="D26" s="17">
        <f>Baseline!AN25</f>
        <v>0.51496682448345821</v>
      </c>
      <c r="E26" s="17">
        <f>Baseline!AO25</f>
        <v>1.2261609643914881</v>
      </c>
      <c r="F26" s="17">
        <f>Baseline!AP25</f>
        <v>2.2361246927243523</v>
      </c>
      <c r="G26" s="17">
        <f>Baseline!AQ25</f>
        <v>4.0779749042924998</v>
      </c>
      <c r="H26" s="17">
        <f>Baseline!AR25</f>
        <v>9.7098558658164578</v>
      </c>
      <c r="I26" s="17">
        <f t="shared" si="19"/>
        <v>0.1</v>
      </c>
      <c r="J26" s="17">
        <f t="shared" si="19"/>
        <v>0.1</v>
      </c>
      <c r="K26" s="17">
        <f t="shared" si="19"/>
        <v>0.1</v>
      </c>
      <c r="L26" s="19">
        <f t="shared" si="19"/>
        <v>4.0779749042924998</v>
      </c>
      <c r="M26" s="17">
        <f t="shared" si="19"/>
        <v>9.7098558658164578</v>
      </c>
      <c r="N26" s="229">
        <f>'Phy activity RRs'!$G$4</f>
        <v>0.93831941951583364</v>
      </c>
      <c r="O26" s="15">
        <f>IF(('user page'!$R$36=0),$N26^(I26^0.25),IF(('user page'!$R$36=1),$N26^(I26^0.5),IF(('user page'!$R$36=2),$N26^(I26^0.375),IF(('user page'!$R$36=4),$N26^(I26),IF(('user page'!$R$36=3),$N26^(LN(1+I26)),"")))))</f>
        <v>0.98006871247951299</v>
      </c>
      <c r="P26" s="15">
        <f>IF(('user page'!$R$36=0),$N26^(J26^0.25),IF(('user page'!$R$36=1),$N26^(J26^0.5),IF(('user page'!$R$36=2),$N26^(J26^0.375),IF(('user page'!$R$36=4),$N26^(J26),IF(('user page'!$R$36=3),$N26^(LN(1+J26)),"")))))</f>
        <v>0.98006871247951299</v>
      </c>
      <c r="Q26" s="15">
        <f>IF(('user page'!$R$36=0),$N26^(K26^0.25),IF(('user page'!$R$36=1),$N26^(K26^0.5),IF(('user page'!$R$36=2),$N26^(K26^0.375),IF(('user page'!$R$36=4),$N26^(K26),IF(('user page'!$R$36=3),$N26^(LN(1+K26)),"")))))</f>
        <v>0.98006871247951299</v>
      </c>
      <c r="R26" s="15">
        <f>IF(('user page'!$R$36=0),$N26^(L26^0.25),IF(('user page'!$R$36=1),$N26^(L26^0.5),IF(('user page'!$R$36=2),$N26^(L26^0.375),IF(('user page'!$R$36=4),$N26^(L26),IF(('user page'!$R$36=3),$N26^(LN(1+L26)),"")))))</f>
        <v>0.87935659051498705</v>
      </c>
      <c r="S26" s="15">
        <f>IF(('user page'!$R$36=0),$N26^(M26^0.25),IF(('user page'!$R$36=1),$N26^(M26^0.5),IF(('user page'!$R$36=2),$N26^(M26^0.375),IF(('user page'!$R$36=4),$N26^(M26),IF(('user page'!$R$36=3),$N26^(LN(1+M26)),"")))))</f>
        <v>0.82005507662182286</v>
      </c>
      <c r="T26" s="18">
        <f t="shared" si="20"/>
        <v>1</v>
      </c>
      <c r="U26" s="18">
        <f t="shared" si="20"/>
        <v>1</v>
      </c>
      <c r="V26" s="18">
        <f t="shared" si="20"/>
        <v>1</v>
      </c>
      <c r="W26" s="183">
        <f t="shared" si="20"/>
        <v>0.89723973362058407</v>
      </c>
      <c r="X26" s="324">
        <f t="shared" si="20"/>
        <v>0.83673222722020624</v>
      </c>
      <c r="Y26" s="18"/>
      <c r="Z26" s="16"/>
      <c r="AA26" s="16"/>
      <c r="AB26" s="17">
        <f>GBDNZ!E60/($T26+$U26+$X26+V26+W26)</f>
        <v>178.88987486727555</v>
      </c>
      <c r="AC26" s="16">
        <f t="shared" si="21"/>
        <v>178.88987486727555</v>
      </c>
      <c r="AD26" s="16">
        <f t="shared" si="21"/>
        <v>178.88987486727555</v>
      </c>
      <c r="AE26" s="16">
        <f t="shared" si="21"/>
        <v>160.50710367333394</v>
      </c>
      <c r="AF26" s="16">
        <f t="shared" si="21"/>
        <v>149.68292342483946</v>
      </c>
      <c r="AG26" s="17">
        <f>GBDNZ!F60/($T26+$U26+$X26+V26+W26)</f>
        <v>2690.320242737138</v>
      </c>
      <c r="AH26" s="16">
        <f t="shared" si="22"/>
        <v>2690.320242737138</v>
      </c>
      <c r="AI26" s="16">
        <f t="shared" si="22"/>
        <v>2690.320242737138</v>
      </c>
      <c r="AJ26" s="16">
        <f t="shared" si="22"/>
        <v>2413.8622179475346</v>
      </c>
      <c r="AK26" s="16">
        <f t="shared" si="22"/>
        <v>2251.0776486410514</v>
      </c>
      <c r="AL26" s="17">
        <f>GBDNZ!G60/($T26+$U26+$X26+V26+W26)</f>
        <v>148.16555926440759</v>
      </c>
      <c r="AM26" s="16">
        <f t="shared" si="23"/>
        <v>148.16555926440759</v>
      </c>
      <c r="AN26" s="16">
        <f t="shared" si="23"/>
        <v>148.16555926440759</v>
      </c>
      <c r="AO26" s="16">
        <f t="shared" si="23"/>
        <v>132.94002692614194</v>
      </c>
      <c r="AP26" s="16">
        <f t="shared" si="23"/>
        <v>123.97489840063523</v>
      </c>
      <c r="AQ26" s="15"/>
      <c r="AR26" s="15"/>
      <c r="AS26" s="15"/>
      <c r="AT26" s="15"/>
      <c r="AU26" s="14"/>
      <c r="AV26" s="14"/>
      <c r="AW26" s="14"/>
      <c r="AX26" s="14"/>
    </row>
    <row r="27" spans="1:50" s="13" customFormat="1" ht="13" x14ac:dyDescent="0.3">
      <c r="A27" s="20">
        <v>0</v>
      </c>
      <c r="B27" s="20">
        <v>1</v>
      </c>
      <c r="C27" s="20" t="s">
        <v>34</v>
      </c>
      <c r="D27" s="17">
        <f>Baseline!AN26</f>
        <v>0.25245260283815635</v>
      </c>
      <c r="E27" s="17">
        <f>Baseline!AO26</f>
        <v>0.60110188121277408</v>
      </c>
      <c r="F27" s="17">
        <f>Baseline!AP26</f>
        <v>1.096217216546284</v>
      </c>
      <c r="G27" s="17">
        <f>Baseline!AQ26</f>
        <v>1.9991489353318384</v>
      </c>
      <c r="H27" s="17">
        <f>Baseline!AR26</f>
        <v>4.7600704937982714</v>
      </c>
      <c r="I27" s="17">
        <f t="shared" si="19"/>
        <v>0.1</v>
      </c>
      <c r="J27" s="17">
        <f t="shared" si="19"/>
        <v>0.1</v>
      </c>
      <c r="K27" s="17">
        <f t="shared" si="19"/>
        <v>0.1</v>
      </c>
      <c r="L27" s="19">
        <f t="shared" si="19"/>
        <v>0.1</v>
      </c>
      <c r="M27" s="17">
        <f t="shared" si="19"/>
        <v>4.7600704937982714</v>
      </c>
      <c r="N27" s="229">
        <f>'Phy activity RRs'!$G$4</f>
        <v>0.93831941951583364</v>
      </c>
      <c r="O27" s="15">
        <f>IF(('user page'!$R$36=0),$N27^(I27^0.25),IF(('user page'!$R$36=1),$N27^(I27^0.5),IF(('user page'!$R$36=2),$N27^(I27^0.375),IF(('user page'!$R$36=4),$N27^(I27),IF(('user page'!$R$36=3),$N27^(LN(1+I27)),"")))))</f>
        <v>0.98006871247951299</v>
      </c>
      <c r="P27" s="15">
        <f>IF(('user page'!$R$36=0),$N27^(J27^0.25),IF(('user page'!$R$36=1),$N27^(J27^0.5),IF(('user page'!$R$36=2),$N27^(J27^0.375),IF(('user page'!$R$36=4),$N27^(J27),IF(('user page'!$R$36=3),$N27^(LN(1+J27)),"")))))</f>
        <v>0.98006871247951299</v>
      </c>
      <c r="Q27" s="15">
        <f>IF(('user page'!$R$36=0),$N27^(K27^0.25),IF(('user page'!$R$36=1),$N27^(K27^0.5),IF(('user page'!$R$36=2),$N27^(K27^0.375),IF(('user page'!$R$36=4),$N27^(K27),IF(('user page'!$R$36=3),$N27^(LN(1+K27)),"")))))</f>
        <v>0.98006871247951299</v>
      </c>
      <c r="R27" s="15">
        <f>IF(('user page'!$R$36=0),$N27^(L27^0.25),IF(('user page'!$R$36=1),$N27^(L27^0.5),IF(('user page'!$R$36=2),$N27^(L27^0.375),IF(('user page'!$R$36=4),$N27^(L27),IF(('user page'!$R$36=3),$N27^(LN(1+L27)),"")))))</f>
        <v>0.98006871247951299</v>
      </c>
      <c r="S27" s="15">
        <f>IF(('user page'!$R$36=0),$N27^(M27^0.25),IF(('user page'!$R$36=1),$N27^(M27^0.5),IF(('user page'!$R$36=2),$N27^(M27^0.375),IF(('user page'!$R$36=4),$N27^(M27),IF(('user page'!$R$36=3),$N27^(LN(1+M27)),"")))))</f>
        <v>0.87031388553843358</v>
      </c>
      <c r="T27" s="18">
        <f t="shared" si="20"/>
        <v>1</v>
      </c>
      <c r="U27" s="18">
        <f t="shared" si="20"/>
        <v>1</v>
      </c>
      <c r="V27" s="18">
        <f t="shared" si="20"/>
        <v>1</v>
      </c>
      <c r="W27" s="183">
        <f t="shared" si="20"/>
        <v>1</v>
      </c>
      <c r="X27" s="324">
        <f t="shared" si="20"/>
        <v>0.88801313056570641</v>
      </c>
      <c r="Y27" s="18"/>
      <c r="Z27" s="16"/>
      <c r="AA27" s="16"/>
      <c r="AB27" s="17">
        <f>GBDNZ!E61/($T27+$U27+$X27+V27+W27)</f>
        <v>379.30857501305906</v>
      </c>
      <c r="AC27" s="16">
        <f t="shared" si="21"/>
        <v>379.30857501305906</v>
      </c>
      <c r="AD27" s="16">
        <f t="shared" si="21"/>
        <v>379.30857501305906</v>
      </c>
      <c r="AE27" s="16">
        <f t="shared" si="21"/>
        <v>379.30857501305906</v>
      </c>
      <c r="AF27" s="16">
        <f t="shared" si="21"/>
        <v>336.83099514776364</v>
      </c>
      <c r="AG27" s="17">
        <f>GBDNZ!F61/($T27+$U27+$X27+V27+W27)</f>
        <v>2476.81055648041</v>
      </c>
      <c r="AH27" s="16">
        <f t="shared" si="22"/>
        <v>2476.81055648041</v>
      </c>
      <c r="AI27" s="16">
        <f t="shared" si="22"/>
        <v>2476.81055648041</v>
      </c>
      <c r="AJ27" s="16">
        <f t="shared" si="22"/>
        <v>2476.81055648041</v>
      </c>
      <c r="AK27" s="16">
        <f t="shared" si="22"/>
        <v>2199.4402960783582</v>
      </c>
      <c r="AL27" s="17">
        <f>GBDNZ!G61/($T27+$U27+$X27+V27+W27)</f>
        <v>99.161363712192767</v>
      </c>
      <c r="AM27" s="16">
        <f t="shared" si="23"/>
        <v>99.161363712192767</v>
      </c>
      <c r="AN27" s="16">
        <f t="shared" si="23"/>
        <v>99.161363712192767</v>
      </c>
      <c r="AO27" s="16">
        <f t="shared" si="23"/>
        <v>99.161363712192767</v>
      </c>
      <c r="AP27" s="16">
        <f t="shared" si="23"/>
        <v>88.056593021228935</v>
      </c>
      <c r="AQ27" s="15"/>
      <c r="AR27" s="15"/>
      <c r="AS27" s="15"/>
      <c r="AT27" s="15"/>
      <c r="AU27" s="14"/>
      <c r="AV27" s="14"/>
      <c r="AW27" s="14"/>
      <c r="AX27" s="14"/>
    </row>
    <row r="28" spans="1:50" s="13" customFormat="1" ht="13" x14ac:dyDescent="0.3">
      <c r="A28" s="20">
        <v>0</v>
      </c>
      <c r="B28" s="20">
        <v>2</v>
      </c>
      <c r="C28" s="20" t="s">
        <v>2</v>
      </c>
      <c r="D28" s="17"/>
      <c r="E28" s="17"/>
      <c r="F28" s="17"/>
      <c r="G28" s="17"/>
      <c r="H28" s="17"/>
      <c r="I28" s="17"/>
      <c r="J28" s="17"/>
      <c r="K28" s="17"/>
      <c r="L28" s="19"/>
      <c r="M28" s="17"/>
      <c r="N28" s="229"/>
      <c r="O28" s="15"/>
      <c r="P28" s="15"/>
      <c r="Q28" s="15"/>
      <c r="R28" s="15"/>
      <c r="S28" s="15"/>
      <c r="T28" s="18"/>
      <c r="U28" s="18"/>
      <c r="V28" s="18"/>
      <c r="W28" s="183"/>
      <c r="X28" s="183"/>
      <c r="Y28" s="18"/>
      <c r="Z28" s="16"/>
      <c r="AA28" s="16"/>
      <c r="AB28" s="17"/>
      <c r="AC28" s="16"/>
      <c r="AD28" s="16"/>
      <c r="AE28" s="16"/>
      <c r="AF28" s="16"/>
      <c r="AG28" s="17"/>
      <c r="AH28" s="16"/>
      <c r="AI28" s="16"/>
      <c r="AJ28" s="16"/>
      <c r="AK28" s="16"/>
      <c r="AL28" s="17"/>
      <c r="AM28" s="16"/>
      <c r="AN28" s="16"/>
      <c r="AO28" s="16"/>
      <c r="AP28" s="16"/>
      <c r="AQ28" s="15"/>
      <c r="AR28" s="15"/>
      <c r="AS28" s="15"/>
      <c r="AT28" s="15"/>
      <c r="AU28" s="14"/>
      <c r="AV28" s="14"/>
      <c r="AW28" s="14"/>
      <c r="AX28" s="14"/>
    </row>
    <row r="29" spans="1:50" s="13" customFormat="1" ht="13" x14ac:dyDescent="0.3">
      <c r="A29" s="20">
        <v>0</v>
      </c>
      <c r="B29" s="20">
        <v>2</v>
      </c>
      <c r="C29" s="20" t="s">
        <v>40</v>
      </c>
      <c r="D29" s="17"/>
      <c r="E29" s="17"/>
      <c r="F29" s="17"/>
      <c r="G29" s="17"/>
      <c r="H29" s="17"/>
      <c r="I29" s="17"/>
      <c r="J29" s="17"/>
      <c r="K29" s="17"/>
      <c r="L29" s="19"/>
      <c r="M29" s="17"/>
      <c r="N29" s="229"/>
      <c r="O29" s="15"/>
      <c r="P29" s="15"/>
      <c r="Q29" s="15"/>
      <c r="R29" s="15"/>
      <c r="S29" s="15"/>
      <c r="T29" s="18"/>
      <c r="U29" s="18"/>
      <c r="V29" s="18"/>
      <c r="W29" s="183"/>
      <c r="X29" s="183"/>
      <c r="Y29" s="18"/>
      <c r="Z29" s="16"/>
      <c r="AA29" s="16"/>
      <c r="AB29" s="17"/>
      <c r="AC29" s="16"/>
      <c r="AD29" s="16"/>
      <c r="AE29" s="16"/>
      <c r="AF29" s="16"/>
      <c r="AG29" s="17"/>
      <c r="AH29" s="16"/>
      <c r="AI29" s="16"/>
      <c r="AJ29" s="16"/>
      <c r="AK29" s="16"/>
      <c r="AL29" s="17"/>
      <c r="AM29" s="16"/>
      <c r="AN29" s="16"/>
      <c r="AO29" s="16"/>
      <c r="AP29" s="16"/>
      <c r="AQ29" s="15"/>
      <c r="AR29" s="15"/>
      <c r="AS29" s="15"/>
      <c r="AT29" s="15"/>
      <c r="AU29" s="14"/>
      <c r="AV29" s="14"/>
      <c r="AW29" s="14"/>
      <c r="AX29" s="14"/>
    </row>
    <row r="30" spans="1:50" s="13" customFormat="1" ht="13" x14ac:dyDescent="0.3">
      <c r="A30" s="20">
        <v>0</v>
      </c>
      <c r="B30" s="20">
        <v>2</v>
      </c>
      <c r="C30" s="20" t="s">
        <v>39</v>
      </c>
      <c r="D30" s="17">
        <f>Baseline!AN29</f>
        <v>0.38786520725769708</v>
      </c>
      <c r="E30" s="17">
        <f>Baseline!AO29</f>
        <v>0.9235258544315782</v>
      </c>
      <c r="F30" s="17">
        <f>Baseline!AP29</f>
        <v>1.6842152273936337</v>
      </c>
      <c r="G30" s="17">
        <f>Baseline!AQ29</f>
        <v>3.0714688912856469</v>
      </c>
      <c r="H30" s="17">
        <f>Baseline!AR29</f>
        <v>7.3133162735578114</v>
      </c>
      <c r="I30" s="17">
        <f t="shared" ref="I30:M35" si="24">IF(D30&gt;2.5,D30,0.1)</f>
        <v>0.1</v>
      </c>
      <c r="J30" s="17">
        <f t="shared" si="24"/>
        <v>0.1</v>
      </c>
      <c r="K30" s="17">
        <f t="shared" si="24"/>
        <v>0.1</v>
      </c>
      <c r="L30" s="19">
        <f t="shared" si="24"/>
        <v>3.0714688912856469</v>
      </c>
      <c r="M30" s="17">
        <f t="shared" si="24"/>
        <v>7.3133162735578114</v>
      </c>
      <c r="N30" s="229">
        <f>'Phy activity RRs'!$G$4</f>
        <v>0.93831941951583364</v>
      </c>
      <c r="O30" s="15">
        <f>IF(('user page'!$R$36=0),$N30^(I30^0.25),IF(('user page'!$R$36=1),$N30^(I30^0.5),IF(('user page'!$R$36=2),$N30^(I30^0.375),IF(('user page'!$R$36=4),$N30^(I30),IF(('user page'!$R$36=3),$N30^(LN(1+I30)),"")))))</f>
        <v>0.98006871247951299</v>
      </c>
      <c r="P30" s="15">
        <f>IF(('user page'!$R$36=0),$N30^(J30^0.25),IF(('user page'!$R$36=1),$N30^(J30^0.5),IF(('user page'!$R$36=2),$N30^(J30^0.375),IF(('user page'!$R$36=4),$N30^(J30),IF(('user page'!$R$36=3),$N30^(LN(1+J30)),"")))))</f>
        <v>0.98006871247951299</v>
      </c>
      <c r="Q30" s="15">
        <f>IF(('user page'!$R$36=0),$N30^(K30^0.25),IF(('user page'!$R$36=1),$N30^(K30^0.5),IF(('user page'!$R$36=2),$N30^(K30^0.375),IF(('user page'!$R$36=4),$N30^(K30),IF(('user page'!$R$36=3),$N30^(LN(1+K30)),"")))))</f>
        <v>0.98006871247951299</v>
      </c>
      <c r="R30" s="15">
        <f>IF(('user page'!$R$36=0),$N30^(L30^0.25),IF(('user page'!$R$36=1),$N30^(L30^0.5),IF(('user page'!$R$36=2),$N30^(L30^0.375),IF(('user page'!$R$36=4),$N30^(L30),IF(('user page'!$R$36=3),$N30^(LN(1+L30)),"")))))</f>
        <v>0.89442294623525309</v>
      </c>
      <c r="S30" s="15">
        <f>IF(('user page'!$R$36=0),$N30^(M30^0.25),IF(('user page'!$R$36=1),$N30^(M30^0.5),IF(('user page'!$R$36=2),$N30^(M30^0.375),IF(('user page'!$R$36=4),$N30^(M30),IF(('user page'!$R$36=3),$N30^(LN(1+M30)),"")))))</f>
        <v>0.8418362306448598</v>
      </c>
      <c r="T30" s="18">
        <f t="shared" ref="T30:X35" si="25">O30/$O30</f>
        <v>1</v>
      </c>
      <c r="U30" s="18">
        <f t="shared" si="25"/>
        <v>1</v>
      </c>
      <c r="V30" s="18">
        <f t="shared" si="25"/>
        <v>1</v>
      </c>
      <c r="W30" s="183">
        <f t="shared" si="25"/>
        <v>0.91261248813097862</v>
      </c>
      <c r="X30" s="326">
        <f t="shared" si="25"/>
        <v>0.85895633635224045</v>
      </c>
      <c r="Y30" s="18"/>
      <c r="Z30" s="16"/>
      <c r="AA30" s="16"/>
      <c r="AB30" s="17">
        <f>GBDNZ!E64/($T30+$U30+$X30+V30+W30)</f>
        <v>0.29484745220087477</v>
      </c>
      <c r="AC30" s="16">
        <f t="shared" ref="AC30:AF35" si="26">$AB30*U30</f>
        <v>0.29484745220087477</v>
      </c>
      <c r="AD30" s="16">
        <f t="shared" si="26"/>
        <v>0.29484745220087477</v>
      </c>
      <c r="AE30" s="16">
        <f t="shared" si="26"/>
        <v>0.2690814669721201</v>
      </c>
      <c r="AF30" s="16">
        <f t="shared" si="26"/>
        <v>0.25326108732525571</v>
      </c>
      <c r="AG30" s="17">
        <f>GBDNZ!F64/($T30+$U30+$X30+V30+W30)</f>
        <v>18.366087457931879</v>
      </c>
      <c r="AH30" s="16">
        <f t="shared" ref="AH30:AK35" si="27">$AG30*U30</f>
        <v>18.366087457931879</v>
      </c>
      <c r="AI30" s="16">
        <f t="shared" si="27"/>
        <v>18.366087457931879</v>
      </c>
      <c r="AJ30" s="16">
        <f t="shared" si="27"/>
        <v>16.761120772214372</v>
      </c>
      <c r="AK30" s="16">
        <f t="shared" si="27"/>
        <v>15.77566719599</v>
      </c>
      <c r="AL30" s="17">
        <f>GBDNZ!G64/($T30+$U30+$X30+V30+W30)</f>
        <v>0.21102921402565242</v>
      </c>
      <c r="AM30" s="16">
        <f t="shared" ref="AM30:AP35" si="28">U30*$AL30</f>
        <v>0.21102921402565242</v>
      </c>
      <c r="AN30" s="16">
        <f t="shared" si="28"/>
        <v>0.21102921402565242</v>
      </c>
      <c r="AO30" s="16">
        <f t="shared" si="28"/>
        <v>0.19258789608027546</v>
      </c>
      <c r="AP30" s="16">
        <f t="shared" si="28"/>
        <v>0.18126488054276724</v>
      </c>
      <c r="AQ30" s="15"/>
      <c r="AR30" s="15"/>
      <c r="AS30" s="15"/>
      <c r="AT30" s="15"/>
      <c r="AU30" s="14"/>
      <c r="AV30" s="14"/>
      <c r="AW30" s="14"/>
      <c r="AX30" s="14"/>
    </row>
    <row r="31" spans="1:50" s="13" customFormat="1" ht="13" x14ac:dyDescent="0.3">
      <c r="A31" s="20">
        <v>0</v>
      </c>
      <c r="B31" s="20">
        <v>2</v>
      </c>
      <c r="C31" s="20" t="s">
        <v>38</v>
      </c>
      <c r="D31" s="17">
        <f>Baseline!AN30</f>
        <v>0.32214184162495779</v>
      </c>
      <c r="E31" s="17">
        <f>Baseline!AO30</f>
        <v>0.76703533590520923</v>
      </c>
      <c r="F31" s="17">
        <f>Baseline!AP30</f>
        <v>1.3988266668242526</v>
      </c>
      <c r="G31" s="17">
        <f>Baseline!AQ30</f>
        <v>2.5510116056249852</v>
      </c>
      <c r="H31" s="17">
        <f>Baseline!AR30</f>
        <v>6.0740822550356066</v>
      </c>
      <c r="I31" s="17">
        <f t="shared" si="24"/>
        <v>0.1</v>
      </c>
      <c r="J31" s="17">
        <f t="shared" si="24"/>
        <v>0.1</v>
      </c>
      <c r="K31" s="17">
        <f t="shared" si="24"/>
        <v>0.1</v>
      </c>
      <c r="L31" s="19">
        <f t="shared" si="24"/>
        <v>2.5510116056249852</v>
      </c>
      <c r="M31" s="17">
        <f t="shared" si="24"/>
        <v>6.0740822550356066</v>
      </c>
      <c r="N31" s="229">
        <f>'Phy activity RRs'!$G$4</f>
        <v>0.93831941951583364</v>
      </c>
      <c r="O31" s="15">
        <f>IF(('user page'!$R$36=0),$N31^(I31^0.25),IF(('user page'!$R$36=1),$N31^(I31^0.5),IF(('user page'!$R$36=2),$N31^(I31^0.375),IF(('user page'!$R$36=4),$N31^(I31),IF(('user page'!$R$36=3),$N31^(LN(1+I31)),"")))))</f>
        <v>0.98006871247951299</v>
      </c>
      <c r="P31" s="15">
        <f>IF(('user page'!$R$36=0),$N31^(J31^0.25),IF(('user page'!$R$36=1),$N31^(J31^0.5),IF(('user page'!$R$36=2),$N31^(J31^0.375),IF(('user page'!$R$36=4),$N31^(J31),IF(('user page'!$R$36=3),$N31^(LN(1+J31)),"")))))</f>
        <v>0.98006871247951299</v>
      </c>
      <c r="Q31" s="15">
        <f>IF(('user page'!$R$36=0),$N31^(K31^0.25),IF(('user page'!$R$36=1),$N31^(K31^0.5),IF(('user page'!$R$36=2),$N31^(K31^0.375),IF(('user page'!$R$36=4),$N31^(K31),IF(('user page'!$R$36=3),$N31^(LN(1+K31)),"")))))</f>
        <v>0.98006871247951299</v>
      </c>
      <c r="R31" s="15">
        <f>IF(('user page'!$R$36=0),$N31^(L31^0.25),IF(('user page'!$R$36=1),$N31^(L31^0.5),IF(('user page'!$R$36=2),$N31^(L31^0.375),IF(('user page'!$R$36=4),$N31^(L31),IF(('user page'!$R$36=3),$N31^(LN(1+L31)),"")))))</f>
        <v>0.90331424508347002</v>
      </c>
      <c r="S31" s="15">
        <f>IF(('user page'!$R$36=0),$N31^(M31^0.25),IF(('user page'!$R$36=1),$N31^(M31^0.5),IF(('user page'!$R$36=2),$N31^(M31^0.375),IF(('user page'!$R$36=4),$N31^(M31),IF(('user page'!$R$36=3),$N31^(LN(1+M31)),"")))))</f>
        <v>0.85478423788211289</v>
      </c>
      <c r="T31" s="18">
        <f t="shared" si="25"/>
        <v>1</v>
      </c>
      <c r="U31" s="18">
        <f t="shared" si="25"/>
        <v>1</v>
      </c>
      <c r="V31" s="18">
        <f t="shared" si="25"/>
        <v>1</v>
      </c>
      <c r="W31" s="183">
        <f t="shared" si="25"/>
        <v>0.92168460596822954</v>
      </c>
      <c r="X31" s="326">
        <f t="shared" si="25"/>
        <v>0.87216766232600351</v>
      </c>
      <c r="Y31" s="18"/>
      <c r="Z31" s="16"/>
      <c r="AA31" s="16"/>
      <c r="AB31" s="17">
        <f>GBDNZ!E65/($T31+$U31+$X31+V31+W31)</f>
        <v>3.0477313870789597</v>
      </c>
      <c r="AC31" s="16">
        <f t="shared" si="26"/>
        <v>3.0477313870789597</v>
      </c>
      <c r="AD31" s="16">
        <f t="shared" si="26"/>
        <v>3.0477313870789597</v>
      </c>
      <c r="AE31" s="16">
        <f t="shared" si="26"/>
        <v>2.8090471025968768</v>
      </c>
      <c r="AF31" s="16">
        <f t="shared" si="26"/>
        <v>2.6581327592662443</v>
      </c>
      <c r="AG31" s="17">
        <f>GBDNZ!F65/($T31+$U31+$X31+V31+W31)</f>
        <v>143.00015092307484</v>
      </c>
      <c r="AH31" s="16">
        <f t="shared" si="27"/>
        <v>143.00015092307484</v>
      </c>
      <c r="AI31" s="16">
        <f t="shared" si="27"/>
        <v>143.00015092307484</v>
      </c>
      <c r="AJ31" s="16">
        <f t="shared" si="27"/>
        <v>131.80103775693158</v>
      </c>
      <c r="AK31" s="16">
        <f t="shared" si="27"/>
        <v>124.72010734284387</v>
      </c>
      <c r="AL31" s="17">
        <f>GBDNZ!G65/($T31+$U31+$X31+V31+W31)</f>
        <v>1.9573937306663931</v>
      </c>
      <c r="AM31" s="16">
        <f t="shared" si="28"/>
        <v>1.9573937306663931</v>
      </c>
      <c r="AN31" s="16">
        <f t="shared" si="28"/>
        <v>1.9573937306663931</v>
      </c>
      <c r="AO31" s="16">
        <f t="shared" si="28"/>
        <v>1.8040996693739373</v>
      </c>
      <c r="AP31" s="16">
        <f t="shared" si="28"/>
        <v>1.707175514326883</v>
      </c>
      <c r="AQ31" s="15"/>
      <c r="AR31" s="15"/>
      <c r="AS31" s="15"/>
      <c r="AT31" s="15"/>
      <c r="AU31" s="14"/>
      <c r="AV31" s="14"/>
      <c r="AW31" s="14"/>
      <c r="AX31" s="14"/>
    </row>
    <row r="32" spans="1:50" s="13" customFormat="1" ht="13" x14ac:dyDescent="0.3">
      <c r="A32" s="20">
        <v>0</v>
      </c>
      <c r="B32" s="20">
        <v>2</v>
      </c>
      <c r="C32" s="20" t="s">
        <v>37</v>
      </c>
      <c r="D32" s="17">
        <f>Baseline!AN31</f>
        <v>0.46307739299727485</v>
      </c>
      <c r="E32" s="17">
        <f>Baseline!AO31</f>
        <v>1.1026097134606268</v>
      </c>
      <c r="F32" s="17">
        <f>Baseline!AP31</f>
        <v>2.0108068013163582</v>
      </c>
      <c r="G32" s="17">
        <f>Baseline!AQ31</f>
        <v>3.6670672703669323</v>
      </c>
      <c r="H32" s="17">
        <f>Baseline!AR31</f>
        <v>8.7314648768524989</v>
      </c>
      <c r="I32" s="17">
        <f t="shared" si="24"/>
        <v>0.1</v>
      </c>
      <c r="J32" s="17">
        <f t="shared" si="24"/>
        <v>0.1</v>
      </c>
      <c r="K32" s="17">
        <f t="shared" si="24"/>
        <v>0.1</v>
      </c>
      <c r="L32" s="19">
        <f t="shared" si="24"/>
        <v>3.6670672703669323</v>
      </c>
      <c r="M32" s="17">
        <f t="shared" si="24"/>
        <v>8.7314648768524989</v>
      </c>
      <c r="N32" s="229">
        <f>'Phy activity RRs'!$G$4</f>
        <v>0.93831941951583364</v>
      </c>
      <c r="O32" s="15">
        <f>IF(('user page'!$R$36=0),$N32^(I32^0.25),IF(('user page'!$R$36=1),$N32^(I32^0.5),IF(('user page'!$R$36=2),$N32^(I32^0.375),IF(('user page'!$R$36=4),$N32^(I32),IF(('user page'!$R$36=3),$N32^(LN(1+I32)),"")))))</f>
        <v>0.98006871247951299</v>
      </c>
      <c r="P32" s="15">
        <f>IF(('user page'!$R$36=0),$N32^(J32^0.25),IF(('user page'!$R$36=1),$N32^(J32^0.5),IF(('user page'!$R$36=2),$N32^(J32^0.375),IF(('user page'!$R$36=4),$N32^(J32),IF(('user page'!$R$36=3),$N32^(LN(1+J32)),"")))))</f>
        <v>0.98006871247951299</v>
      </c>
      <c r="Q32" s="15">
        <f>IF(('user page'!$R$36=0),$N32^(K32^0.25),IF(('user page'!$R$36=1),$N32^(K32^0.5),IF(('user page'!$R$36=2),$N32^(K32^0.375),IF(('user page'!$R$36=4),$N32^(K32),IF(('user page'!$R$36=3),$N32^(LN(1+K32)),"")))))</f>
        <v>0.98006871247951299</v>
      </c>
      <c r="R32" s="15">
        <f>IF(('user page'!$R$36=0),$N32^(L32^0.25),IF(('user page'!$R$36=1),$N32^(L32^0.5),IF(('user page'!$R$36=2),$N32^(L32^0.375),IF(('user page'!$R$36=4),$N32^(L32),IF(('user page'!$R$36=3),$N32^(LN(1+L32)),"")))))</f>
        <v>0.88522309925020337</v>
      </c>
      <c r="S32" s="15">
        <f>IF(('user page'!$R$36=0),$N32^(M32^0.25),IF(('user page'!$R$36=1),$N32^(M32^0.5),IF(('user page'!$R$36=2),$N32^(M32^0.375),IF(('user page'!$R$36=4),$N32^(M32),IF(('user page'!$R$36=3),$N32^(LN(1+M32)),"")))))</f>
        <v>0.82851228537111998</v>
      </c>
      <c r="T32" s="18">
        <f t="shared" si="25"/>
        <v>1</v>
      </c>
      <c r="U32" s="18">
        <f t="shared" si="25"/>
        <v>1</v>
      </c>
      <c r="V32" s="18">
        <f t="shared" si="25"/>
        <v>1</v>
      </c>
      <c r="W32" s="183">
        <f t="shared" si="25"/>
        <v>0.90322554732988458</v>
      </c>
      <c r="X32" s="326">
        <f t="shared" si="25"/>
        <v>0.84536142703202444</v>
      </c>
      <c r="Y32" s="18"/>
      <c r="Z32" s="16"/>
      <c r="AA32" s="16"/>
      <c r="AB32" s="17">
        <f>GBDNZ!E66/($T32+$U32+$X32+V32+W32)</f>
        <v>19.733165045922224</v>
      </c>
      <c r="AC32" s="16">
        <f t="shared" si="26"/>
        <v>19.733165045922224</v>
      </c>
      <c r="AD32" s="16">
        <f t="shared" si="26"/>
        <v>19.733165045922224</v>
      </c>
      <c r="AE32" s="16">
        <f t="shared" si="26"/>
        <v>17.823498799154049</v>
      </c>
      <c r="AF32" s="16">
        <f t="shared" si="26"/>
        <v>16.681656563079276</v>
      </c>
      <c r="AG32" s="17">
        <f>GBDNZ!F66/($T32+$U32+$X32+V32+W32)</f>
        <v>669.65709157034064</v>
      </c>
      <c r="AH32" s="16">
        <f t="shared" si="27"/>
        <v>669.65709157034064</v>
      </c>
      <c r="AI32" s="16">
        <f t="shared" si="27"/>
        <v>669.65709157034064</v>
      </c>
      <c r="AJ32" s="16">
        <f t="shared" si="27"/>
        <v>604.85139305695952</v>
      </c>
      <c r="AK32" s="16">
        <f t="shared" si="27"/>
        <v>566.10227455201823</v>
      </c>
      <c r="AL32" s="17">
        <f>GBDNZ!G66/($T32+$U32+$X32+V32+W32)</f>
        <v>54.150995793765212</v>
      </c>
      <c r="AM32" s="16">
        <f t="shared" si="28"/>
        <v>54.150995793765212</v>
      </c>
      <c r="AN32" s="16">
        <f t="shared" si="28"/>
        <v>54.150995793765212</v>
      </c>
      <c r="AO32" s="16">
        <f t="shared" si="28"/>
        <v>48.91056281428186</v>
      </c>
      <c r="AP32" s="16">
        <f t="shared" si="28"/>
        <v>45.777163079422515</v>
      </c>
      <c r="AQ32" s="15"/>
      <c r="AR32" s="15"/>
      <c r="AS32" s="15"/>
      <c r="AT32" s="15"/>
      <c r="AU32" s="14"/>
      <c r="AV32" s="14"/>
      <c r="AW32" s="14"/>
      <c r="AX32" s="14"/>
    </row>
    <row r="33" spans="1:50" s="13" customFormat="1" ht="13" x14ac:dyDescent="0.3">
      <c r="A33" s="20">
        <v>0</v>
      </c>
      <c r="B33" s="20">
        <v>2</v>
      </c>
      <c r="C33" s="20" t="s">
        <v>36</v>
      </c>
      <c r="D33" s="17">
        <f>Baseline!AN32</f>
        <v>0.35634958562049185</v>
      </c>
      <c r="E33" s="17">
        <f>Baseline!AO32</f>
        <v>0.8484856320661196</v>
      </c>
      <c r="F33" s="17">
        <f>Baseline!AP32</f>
        <v>1.5473659074006401</v>
      </c>
      <c r="G33" s="17">
        <f>Baseline!AQ32</f>
        <v>2.8218995830906697</v>
      </c>
      <c r="H33" s="17">
        <f>Baseline!AR32</f>
        <v>6.7190796566149293</v>
      </c>
      <c r="I33" s="17">
        <f t="shared" si="24"/>
        <v>0.1</v>
      </c>
      <c r="J33" s="17">
        <f t="shared" si="24"/>
        <v>0.1</v>
      </c>
      <c r="K33" s="17">
        <f t="shared" si="24"/>
        <v>0.1</v>
      </c>
      <c r="L33" s="19">
        <f t="shared" si="24"/>
        <v>2.8218995830906697</v>
      </c>
      <c r="M33" s="17">
        <f t="shared" si="24"/>
        <v>6.7190796566149293</v>
      </c>
      <c r="N33" s="229">
        <f>'Phy activity RRs'!$G$4</f>
        <v>0.93831941951583364</v>
      </c>
      <c r="O33" s="15">
        <f>IF(('user page'!$R$36=0),$N33^(I33^0.25),IF(('user page'!$R$36=1),$N33^(I33^0.5),IF(('user page'!$R$36=2),$N33^(I33^0.375),IF(('user page'!$R$36=4),$N33^(I33),IF(('user page'!$R$36=3),$N33^(LN(1+I33)),"")))))</f>
        <v>0.98006871247951299</v>
      </c>
      <c r="P33" s="15">
        <f>IF(('user page'!$R$36=0),$N33^(J33^0.25),IF(('user page'!$R$36=1),$N33^(J33^0.5),IF(('user page'!$R$36=2),$N33^(J33^0.375),IF(('user page'!$R$36=4),$N33^(J33),IF(('user page'!$R$36=3),$N33^(LN(1+J33)),"")))))</f>
        <v>0.98006871247951299</v>
      </c>
      <c r="Q33" s="15">
        <f>IF(('user page'!$R$36=0),$N33^(K33^0.25),IF(('user page'!$R$36=1),$N33^(K33^0.5),IF(('user page'!$R$36=2),$N33^(K33^0.375),IF(('user page'!$R$36=4),$N33^(K33),IF(('user page'!$R$36=3),$N33^(LN(1+K33)),"")))))</f>
        <v>0.98006871247951299</v>
      </c>
      <c r="R33" s="15">
        <f>IF(('user page'!$R$36=0),$N33^(L33^0.25),IF(('user page'!$R$36=1),$N33^(L33^0.5),IF(('user page'!$R$36=2),$N33^(L33^0.375),IF(('user page'!$R$36=4),$N33^(L33),IF(('user page'!$R$36=3),$N33^(LN(1+L33)),"")))))</f>
        <v>0.89857286943998327</v>
      </c>
      <c r="S33" s="15">
        <f>IF(('user page'!$R$36=0),$N33^(M33^0.25),IF(('user page'!$R$36=1),$N33^(M33^0.5),IF(('user page'!$R$36=2),$N33^(M33^0.375),IF(('user page'!$R$36=4),$N33^(M33),IF(('user page'!$R$36=3),$N33^(LN(1+M33)),"")))))</f>
        <v>0.84787092492473326</v>
      </c>
      <c r="T33" s="18">
        <f t="shared" si="25"/>
        <v>1</v>
      </c>
      <c r="U33" s="18">
        <f t="shared" si="25"/>
        <v>1</v>
      </c>
      <c r="V33" s="18">
        <f t="shared" si="25"/>
        <v>1</v>
      </c>
      <c r="W33" s="183">
        <f t="shared" si="25"/>
        <v>0.91684680675771157</v>
      </c>
      <c r="X33" s="326">
        <f t="shared" si="25"/>
        <v>0.86511375593214523</v>
      </c>
      <c r="Y33" s="18"/>
      <c r="Z33" s="16"/>
      <c r="AA33" s="16"/>
      <c r="AB33" s="17">
        <f>GBDNZ!E67/($T33+$U33+$X33+V33+W33)</f>
        <v>46.109540940039025</v>
      </c>
      <c r="AC33" s="16">
        <f t="shared" si="26"/>
        <v>46.109540940039025</v>
      </c>
      <c r="AD33" s="16">
        <f t="shared" si="26"/>
        <v>46.109540940039025</v>
      </c>
      <c r="AE33" s="16">
        <f t="shared" si="26"/>
        <v>42.275385371938754</v>
      </c>
      <c r="AF33" s="16">
        <f t="shared" si="26"/>
        <v>39.88999814694418</v>
      </c>
      <c r="AG33" s="17">
        <f>GBDNZ!F67/($T33+$U33+$X33+V33+W33)</f>
        <v>1077.0532196950785</v>
      </c>
      <c r="AH33" s="16">
        <f t="shared" si="27"/>
        <v>1077.0532196950785</v>
      </c>
      <c r="AI33" s="16">
        <f t="shared" si="27"/>
        <v>1077.0532196950785</v>
      </c>
      <c r="AJ33" s="16">
        <f t="shared" si="27"/>
        <v>987.49280518554474</v>
      </c>
      <c r="AK33" s="16">
        <f t="shared" si="27"/>
        <v>931.77355622921937</v>
      </c>
      <c r="AL33" s="17">
        <f>GBDNZ!G67/($T33+$U33+$X33+V33+W33)</f>
        <v>99.629369294089543</v>
      </c>
      <c r="AM33" s="16">
        <f t="shared" si="28"/>
        <v>99.629369294089543</v>
      </c>
      <c r="AN33" s="16">
        <f t="shared" si="28"/>
        <v>99.629369294089543</v>
      </c>
      <c r="AO33" s="16">
        <f t="shared" si="28"/>
        <v>91.344869096570804</v>
      </c>
      <c r="AP33" s="16">
        <f t="shared" si="28"/>
        <v>86.19073787116055</v>
      </c>
      <c r="AQ33" s="15"/>
      <c r="AR33" s="15"/>
      <c r="AS33" s="15"/>
      <c r="AT33" s="15"/>
      <c r="AU33" s="14"/>
      <c r="AV33" s="14"/>
      <c r="AW33" s="14"/>
      <c r="AX33" s="14"/>
    </row>
    <row r="34" spans="1:50" s="13" customFormat="1" ht="13" x14ac:dyDescent="0.3">
      <c r="A34" s="20">
        <v>0</v>
      </c>
      <c r="B34" s="20">
        <v>2</v>
      </c>
      <c r="C34" s="20" t="s">
        <v>35</v>
      </c>
      <c r="D34" s="17">
        <f>Baseline!AN33</f>
        <v>0.30903559868571595</v>
      </c>
      <c r="E34" s="17">
        <f>Baseline!AO33</f>
        <v>0.73582873633823809</v>
      </c>
      <c r="F34" s="17">
        <f>Baseline!AP33</f>
        <v>1.3419158289374042</v>
      </c>
      <c r="G34" s="17">
        <f>Baseline!AQ33</f>
        <v>2.4472244736104138</v>
      </c>
      <c r="H34" s="17">
        <f>Baseline!AR33</f>
        <v>5.8269600641836821</v>
      </c>
      <c r="I34" s="17">
        <f t="shared" si="24"/>
        <v>0.1</v>
      </c>
      <c r="J34" s="17">
        <f t="shared" si="24"/>
        <v>0.1</v>
      </c>
      <c r="K34" s="17">
        <f t="shared" si="24"/>
        <v>0.1</v>
      </c>
      <c r="L34" s="19">
        <f t="shared" si="24"/>
        <v>0.1</v>
      </c>
      <c r="M34" s="17">
        <f t="shared" si="24"/>
        <v>5.8269600641836821</v>
      </c>
      <c r="N34" s="229">
        <f>'Phy activity RRs'!$G$4</f>
        <v>0.93831941951583364</v>
      </c>
      <c r="O34" s="15">
        <f>IF(('user page'!$R$36=0),$N34^(I34^0.25),IF(('user page'!$R$36=1),$N34^(I34^0.5),IF(('user page'!$R$36=2),$N34^(I34^0.375),IF(('user page'!$R$36=4),$N34^(I34),IF(('user page'!$R$36=3),$N34^(LN(1+I34)),"")))))</f>
        <v>0.98006871247951299</v>
      </c>
      <c r="P34" s="15">
        <f>IF(('user page'!$R$36=0),$N34^(J34^0.25),IF(('user page'!$R$36=1),$N34^(J34^0.5),IF(('user page'!$R$36=2),$N34^(J34^0.375),IF(('user page'!$R$36=4),$N34^(J34),IF(('user page'!$R$36=3),$N34^(LN(1+J34)),"")))))</f>
        <v>0.98006871247951299</v>
      </c>
      <c r="Q34" s="15">
        <f>IF(('user page'!$R$36=0),$N34^(K34^0.25),IF(('user page'!$R$36=1),$N34^(K34^0.5),IF(('user page'!$R$36=2),$N34^(K34^0.375),IF(('user page'!$R$36=4),$N34^(K34),IF(('user page'!$R$36=3),$N34^(LN(1+K34)),"")))))</f>
        <v>0.98006871247951299</v>
      </c>
      <c r="R34" s="15">
        <f>IF(('user page'!$R$36=0),$N34^(L34^0.25),IF(('user page'!$R$36=1),$N34^(L34^0.5),IF(('user page'!$R$36=2),$N34^(L34^0.375),IF(('user page'!$R$36=4),$N34^(L34),IF(('user page'!$R$36=3),$N34^(LN(1+L34)),"")))))</f>
        <v>0.98006871247951299</v>
      </c>
      <c r="S34" s="15">
        <f>IF(('user page'!$R$36=0),$N34^(M34^0.25),IF(('user page'!$R$36=1),$N34^(M34^0.5),IF(('user page'!$R$36=2),$N34^(M34^0.375),IF(('user page'!$R$36=4),$N34^(M34),IF(('user page'!$R$36=3),$N34^(LN(1+M34)),"")))))</f>
        <v>0.85754535231110929</v>
      </c>
      <c r="T34" s="18">
        <f t="shared" si="25"/>
        <v>1</v>
      </c>
      <c r="U34" s="18">
        <f t="shared" si="25"/>
        <v>1</v>
      </c>
      <c r="V34" s="18">
        <f t="shared" si="25"/>
        <v>1</v>
      </c>
      <c r="W34" s="183">
        <f t="shared" si="25"/>
        <v>1</v>
      </c>
      <c r="X34" s="326">
        <f t="shared" si="25"/>
        <v>0.87498492849707732</v>
      </c>
      <c r="Y34" s="18"/>
      <c r="Z34" s="16"/>
      <c r="AA34" s="16"/>
      <c r="AB34" s="17">
        <f>GBDNZ!E68/($T34+$U34+$X34+V34+W34)</f>
        <v>101.28282343269113</v>
      </c>
      <c r="AC34" s="16">
        <f t="shared" si="26"/>
        <v>101.28282343269113</v>
      </c>
      <c r="AD34" s="16">
        <f t="shared" si="26"/>
        <v>101.28282343269113</v>
      </c>
      <c r="AE34" s="16">
        <f t="shared" si="26"/>
        <v>101.28282343269113</v>
      </c>
      <c r="AF34" s="16">
        <f t="shared" si="26"/>
        <v>88.620944019235353</v>
      </c>
      <c r="AG34" s="17">
        <f>GBDNZ!F68/($T34+$U34+$X34+V34+W34)</f>
        <v>1499.398239627682</v>
      </c>
      <c r="AH34" s="16">
        <f t="shared" si="27"/>
        <v>1499.398239627682</v>
      </c>
      <c r="AI34" s="16">
        <f t="shared" si="27"/>
        <v>1499.398239627682</v>
      </c>
      <c r="AJ34" s="16">
        <f t="shared" si="27"/>
        <v>1499.398239627682</v>
      </c>
      <c r="AK34" s="16">
        <f t="shared" si="27"/>
        <v>1311.9508614892709</v>
      </c>
      <c r="AL34" s="17">
        <f>GBDNZ!G68/($T34+$U34+$X34+V34+W34)</f>
        <v>96.499508367717397</v>
      </c>
      <c r="AM34" s="16">
        <f t="shared" si="28"/>
        <v>96.499508367717397</v>
      </c>
      <c r="AN34" s="16">
        <f t="shared" si="28"/>
        <v>96.499508367717397</v>
      </c>
      <c r="AO34" s="16">
        <f t="shared" si="28"/>
        <v>96.499508367717397</v>
      </c>
      <c r="AP34" s="16">
        <f t="shared" si="28"/>
        <v>84.435615429130323</v>
      </c>
      <c r="AQ34" s="15"/>
      <c r="AR34" s="15"/>
      <c r="AS34" s="15"/>
      <c r="AT34" s="15"/>
      <c r="AU34" s="14"/>
      <c r="AV34" s="14"/>
      <c r="AW34" s="14"/>
      <c r="AX34" s="14"/>
    </row>
    <row r="35" spans="1:50" s="13" customFormat="1" ht="13" x14ac:dyDescent="0.3">
      <c r="A35" s="20">
        <v>0</v>
      </c>
      <c r="B35" s="20">
        <v>2</v>
      </c>
      <c r="C35" s="20" t="s">
        <v>34</v>
      </c>
      <c r="D35" s="17">
        <f>Baseline!AN34</f>
        <v>0.18233554535978089</v>
      </c>
      <c r="E35" s="17">
        <f>Baseline!AO34</f>
        <v>0.43414976948360384</v>
      </c>
      <c r="F35" s="17">
        <f>Baseline!AP34</f>
        <v>0.79175006224787237</v>
      </c>
      <c r="G35" s="17">
        <f>Baseline!AQ34</f>
        <v>1.4438984081809676</v>
      </c>
      <c r="H35" s="17">
        <f>Baseline!AR34</f>
        <v>3.4379920812071276</v>
      </c>
      <c r="I35" s="17">
        <f t="shared" si="24"/>
        <v>0.1</v>
      </c>
      <c r="J35" s="17">
        <f t="shared" si="24"/>
        <v>0.1</v>
      </c>
      <c r="K35" s="17">
        <f t="shared" si="24"/>
        <v>0.1</v>
      </c>
      <c r="L35" s="19">
        <f t="shared" si="24"/>
        <v>0.1</v>
      </c>
      <c r="M35" s="17">
        <f t="shared" si="24"/>
        <v>3.4379920812071276</v>
      </c>
      <c r="N35" s="229">
        <f>'Phy activity RRs'!$G$4</f>
        <v>0.93831941951583364</v>
      </c>
      <c r="O35" s="15">
        <f>IF(('user page'!$R$36=0),$N35^(I35^0.25),IF(('user page'!$R$36=1),$N35^(I35^0.5),IF(('user page'!$R$36=2),$N35^(I35^0.375),IF(('user page'!$R$36=4),$N35^(I35),IF(('user page'!$R$36=3),$N35^(LN(1+I35)),"")))))</f>
        <v>0.98006871247951299</v>
      </c>
      <c r="P35" s="15">
        <f>IF(('user page'!$R$36=0),$N35^(J35^0.25),IF(('user page'!$R$36=1),$N35^(J35^0.5),IF(('user page'!$R$36=2),$N35^(J35^0.375),IF(('user page'!$R$36=4),$N35^(J35),IF(('user page'!$R$36=3),$N35^(LN(1+J35)),"")))))</f>
        <v>0.98006871247951299</v>
      </c>
      <c r="Q35" s="15">
        <f>IF(('user page'!$R$36=0),$N35^(K35^0.25),IF(('user page'!$R$36=1),$N35^(K35^0.5),IF(('user page'!$R$36=2),$N35^(K35^0.375),IF(('user page'!$R$36=4),$N35^(K35),IF(('user page'!$R$36=3),$N35^(LN(1+K35)),"")))))</f>
        <v>0.98006871247951299</v>
      </c>
      <c r="R35" s="15">
        <f>IF(('user page'!$R$36=0),$N35^(L35^0.25),IF(('user page'!$R$36=1),$N35^(L35^0.5),IF(('user page'!$R$36=2),$N35^(L35^0.375),IF(('user page'!$R$36=4),$N35^(L35),IF(('user page'!$R$36=3),$N35^(LN(1+L35)),"")))))</f>
        <v>0.98006871247951299</v>
      </c>
      <c r="S35" s="15">
        <f>IF(('user page'!$R$36=0),$N35^(M35^0.25),IF(('user page'!$R$36=1),$N35^(M35^0.5),IF(('user page'!$R$36=2),$N35^(M35^0.375),IF(('user page'!$R$36=4),$N35^(M35),IF(('user page'!$R$36=3),$N35^(LN(1+M35)),"")))))</f>
        <v>0.88865495190459975</v>
      </c>
      <c r="T35" s="18">
        <f t="shared" si="25"/>
        <v>1</v>
      </c>
      <c r="U35" s="18">
        <f t="shared" si="25"/>
        <v>1</v>
      </c>
      <c r="V35" s="18">
        <f t="shared" si="25"/>
        <v>1</v>
      </c>
      <c r="W35" s="183">
        <f t="shared" si="25"/>
        <v>1</v>
      </c>
      <c r="X35" s="326">
        <f t="shared" si="25"/>
        <v>0.90672719227650667</v>
      </c>
      <c r="Y35" s="18"/>
      <c r="Z35" s="16"/>
      <c r="AA35" s="16"/>
      <c r="AB35" s="17">
        <f>GBDNZ!E69/($T35+$U35+$X35+V35+W35)</f>
        <v>447.13260774991238</v>
      </c>
      <c r="AC35" s="16">
        <f t="shared" si="26"/>
        <v>447.13260774991238</v>
      </c>
      <c r="AD35" s="16">
        <f t="shared" si="26"/>
        <v>447.13260774991238</v>
      </c>
      <c r="AE35" s="16">
        <f t="shared" si="26"/>
        <v>447.13260774991238</v>
      </c>
      <c r="AF35" s="16">
        <f t="shared" si="26"/>
        <v>405.42729400035063</v>
      </c>
      <c r="AG35" s="17">
        <f>GBDNZ!F69/($T35+$U35+$X35+V35+W35)</f>
        <v>2553.3331677213787</v>
      </c>
      <c r="AH35" s="16">
        <f t="shared" si="27"/>
        <v>2553.3331677213787</v>
      </c>
      <c r="AI35" s="16">
        <f t="shared" si="27"/>
        <v>2553.3331677213787</v>
      </c>
      <c r="AJ35" s="16">
        <f t="shared" si="27"/>
        <v>2553.3331677213787</v>
      </c>
      <c r="AK35" s="16">
        <f t="shared" si="27"/>
        <v>2315.1766141144844</v>
      </c>
      <c r="AL35" s="17">
        <f>GBDNZ!G69/($T35+$U35+$X35+V35+W35)</f>
        <v>119.30642340203106</v>
      </c>
      <c r="AM35" s="16">
        <f t="shared" si="28"/>
        <v>119.30642340203106</v>
      </c>
      <c r="AN35" s="16">
        <f t="shared" si="28"/>
        <v>119.30642340203106</v>
      </c>
      <c r="AO35" s="16">
        <f t="shared" si="28"/>
        <v>119.30642340203106</v>
      </c>
      <c r="AP35" s="16">
        <f t="shared" si="28"/>
        <v>108.17837831187573</v>
      </c>
      <c r="AQ35" s="15"/>
      <c r="AR35" s="15"/>
      <c r="AS35" s="15"/>
      <c r="AT35" s="15"/>
      <c r="AU35" s="14"/>
      <c r="AV35" s="14"/>
      <c r="AW35" s="14"/>
      <c r="AX35" s="14"/>
    </row>
    <row r="37" spans="1:50" x14ac:dyDescent="0.35">
      <c r="AB37" s="205"/>
    </row>
    <row r="38" spans="1:50" x14ac:dyDescent="0.35">
      <c r="AB38" s="292"/>
    </row>
  </sheetData>
  <mergeCells count="9">
    <mergeCell ref="AG1:AK1"/>
    <mergeCell ref="AL1:AP1"/>
    <mergeCell ref="AQ1:AT1"/>
    <mergeCell ref="AU1:AX1"/>
    <mergeCell ref="D1:H1"/>
    <mergeCell ref="I1:M1"/>
    <mergeCell ref="O1:S1"/>
    <mergeCell ref="T1:X1"/>
    <mergeCell ref="AB1:AF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110" zoomScaleNormal="110" zoomScalePageLayoutView="110" workbookViewId="0"/>
  </sheetViews>
  <sheetFormatPr defaultColWidth="9.1796875" defaultRowHeight="14.5" x14ac:dyDescent="0.35"/>
  <cols>
    <col min="1" max="1" width="4.453125" style="10" bestFit="1" customWidth="1"/>
    <col min="2" max="2" width="3.7265625" style="10" bestFit="1" customWidth="1"/>
    <col min="3" max="3" width="5.453125" style="10" bestFit="1" customWidth="1"/>
    <col min="4" max="4" width="1.81640625" style="10" bestFit="1" customWidth="1"/>
    <col min="5" max="7" width="2.7265625" style="10" bestFit="1" customWidth="1"/>
    <col min="8" max="8" width="3.7265625" style="10" bestFit="1" customWidth="1"/>
    <col min="9" max="12" width="2.7265625" style="10" bestFit="1" customWidth="1"/>
    <col min="13" max="13" width="3.7265625" style="10" bestFit="1" customWidth="1"/>
    <col min="14" max="14" width="4.26953125" style="10" bestFit="1" customWidth="1"/>
    <col min="15" max="21" width="3.1796875" style="10" bestFit="1" customWidth="1"/>
    <col min="22" max="22" width="5" style="10" bestFit="1" customWidth="1"/>
    <col min="23" max="24" width="3.1796875" style="10" bestFit="1" customWidth="1"/>
    <col min="25" max="25" width="3.26953125" style="10" bestFit="1" customWidth="1"/>
    <col min="26" max="26" width="8.7265625" style="12" customWidth="1"/>
    <col min="27" max="31" width="2.7265625" style="10" bestFit="1" customWidth="1"/>
    <col min="32" max="36" width="3.7265625" style="10" bestFit="1" customWidth="1"/>
    <col min="37" max="41" width="3.7265625" style="12" bestFit="1" customWidth="1"/>
    <col min="42" max="42" width="6.453125" style="11" bestFit="1" customWidth="1"/>
    <col min="43" max="43" width="4.81640625" style="10" bestFit="1" customWidth="1"/>
    <col min="44" max="44" width="5.26953125" style="10" bestFit="1" customWidth="1"/>
    <col min="45" max="45" width="5.1796875" style="10" bestFit="1" customWidth="1"/>
    <col min="46" max="46" width="5.1796875" style="10" customWidth="1"/>
    <col min="47" max="47" width="5.453125" style="10" customWidth="1"/>
    <col min="48" max="48" width="4.453125" style="10" customWidth="1"/>
    <col min="49" max="49" width="6" style="10" customWidth="1"/>
    <col min="50" max="16384" width="9.1796875" style="10"/>
  </cols>
  <sheetData>
    <row r="1" spans="1:50" s="13" customFormat="1" ht="46.5" customHeight="1" x14ac:dyDescent="0.3">
      <c r="A1" s="20"/>
      <c r="B1" s="20"/>
      <c r="C1" s="20"/>
      <c r="D1" s="1065" t="s">
        <v>56</v>
      </c>
      <c r="E1" s="1065"/>
      <c r="F1" s="1065"/>
      <c r="G1" s="1065"/>
      <c r="H1" s="1065"/>
      <c r="I1" s="1065" t="s">
        <v>55</v>
      </c>
      <c r="J1" s="1065"/>
      <c r="K1" s="1065"/>
      <c r="L1" s="1065"/>
      <c r="M1" s="1065"/>
      <c r="N1" s="29"/>
      <c r="O1" s="1065" t="s">
        <v>54</v>
      </c>
      <c r="P1" s="1065"/>
      <c r="Q1" s="1065"/>
      <c r="R1" s="1065"/>
      <c r="S1" s="1065"/>
      <c r="T1" s="1065" t="s">
        <v>52</v>
      </c>
      <c r="U1" s="1065"/>
      <c r="V1" s="1065"/>
      <c r="W1" s="1065"/>
      <c r="X1" s="1065"/>
      <c r="Y1" s="25" t="s">
        <v>74</v>
      </c>
      <c r="Z1" s="27" t="s">
        <v>73</v>
      </c>
      <c r="AA1" s="1065" t="s">
        <v>51</v>
      </c>
      <c r="AB1" s="1065"/>
      <c r="AC1" s="1065"/>
      <c r="AD1" s="1065"/>
      <c r="AE1" s="1065"/>
      <c r="AF1" s="1065" t="s">
        <v>50</v>
      </c>
      <c r="AG1" s="1065"/>
      <c r="AH1" s="1065"/>
      <c r="AI1" s="1065"/>
      <c r="AJ1" s="1065"/>
      <c r="AK1" s="1066" t="s">
        <v>49</v>
      </c>
      <c r="AL1" s="1066"/>
      <c r="AM1" s="1066"/>
      <c r="AN1" s="1066"/>
      <c r="AO1" s="1066"/>
      <c r="AP1" s="1067" t="s">
        <v>48</v>
      </c>
      <c r="AQ1" s="1067"/>
      <c r="AR1" s="1067"/>
      <c r="AS1" s="1067"/>
    </row>
    <row r="2" spans="1:50" s="23" customFormat="1" ht="37.5" customHeight="1" x14ac:dyDescent="0.3">
      <c r="A2" s="29" t="s">
        <v>47</v>
      </c>
      <c r="B2" s="29" t="s">
        <v>46</v>
      </c>
      <c r="C2" s="29" t="s">
        <v>45</v>
      </c>
      <c r="D2" s="25">
        <v>1</v>
      </c>
      <c r="E2" s="144">
        <v>2</v>
      </c>
      <c r="F2" s="144">
        <v>3</v>
      </c>
      <c r="G2" s="25">
        <v>4</v>
      </c>
      <c r="H2" s="25">
        <v>5</v>
      </c>
      <c r="I2" s="192">
        <v>1</v>
      </c>
      <c r="J2" s="192">
        <v>2</v>
      </c>
      <c r="K2" s="192">
        <v>3</v>
      </c>
      <c r="L2" s="192">
        <v>4</v>
      </c>
      <c r="M2" s="192">
        <v>5</v>
      </c>
      <c r="N2" s="25" t="s">
        <v>44</v>
      </c>
      <c r="O2" s="29">
        <v>1</v>
      </c>
      <c r="P2" s="29">
        <v>2</v>
      </c>
      <c r="Q2" s="29">
        <v>3</v>
      </c>
      <c r="R2" s="29">
        <v>4</v>
      </c>
      <c r="S2" s="29">
        <v>5</v>
      </c>
      <c r="T2" s="29">
        <v>1</v>
      </c>
      <c r="U2" s="29">
        <v>2</v>
      </c>
      <c r="V2" s="29">
        <v>3</v>
      </c>
      <c r="W2" s="29">
        <v>4</v>
      </c>
      <c r="X2" s="29">
        <v>5</v>
      </c>
      <c r="Y2" s="29"/>
      <c r="Z2" s="27"/>
      <c r="AA2" s="29">
        <v>1</v>
      </c>
      <c r="AB2" s="29">
        <v>2</v>
      </c>
      <c r="AC2" s="29">
        <v>3</v>
      </c>
      <c r="AD2" s="29">
        <v>4</v>
      </c>
      <c r="AE2" s="25">
        <v>5</v>
      </c>
      <c r="AF2" s="29">
        <v>1</v>
      </c>
      <c r="AG2" s="29">
        <v>2</v>
      </c>
      <c r="AH2" s="29">
        <v>3</v>
      </c>
      <c r="AI2" s="29">
        <v>4</v>
      </c>
      <c r="AJ2" s="29">
        <v>5</v>
      </c>
      <c r="AK2" s="28">
        <v>1</v>
      </c>
      <c r="AL2" s="28"/>
      <c r="AM2" s="28"/>
      <c r="AN2" s="28">
        <v>2</v>
      </c>
      <c r="AO2" s="27">
        <v>3</v>
      </c>
      <c r="AP2" s="26" t="s">
        <v>43</v>
      </c>
      <c r="AQ2" s="25" t="s">
        <v>42</v>
      </c>
      <c r="AR2" s="25" t="s">
        <v>41</v>
      </c>
      <c r="AS2" s="25" t="s">
        <v>28</v>
      </c>
      <c r="AT2" s="13"/>
      <c r="AU2" s="13"/>
      <c r="AV2" s="13"/>
      <c r="AW2" s="13"/>
      <c r="AX2" s="13"/>
    </row>
    <row r="3" spans="1:50" s="13" customFormat="1" ht="13" x14ac:dyDescent="0.3">
      <c r="A3" s="20">
        <v>1</v>
      </c>
      <c r="B3" s="20">
        <v>1</v>
      </c>
      <c r="C3" s="20" t="s">
        <v>2</v>
      </c>
      <c r="D3" s="17"/>
      <c r="E3" s="17"/>
      <c r="F3" s="17"/>
      <c r="G3" s="17"/>
      <c r="H3" s="17"/>
      <c r="I3" s="17"/>
      <c r="J3" s="17"/>
      <c r="K3" s="17"/>
      <c r="L3" s="17"/>
      <c r="M3" s="17"/>
      <c r="N3" s="15"/>
      <c r="O3" s="15"/>
      <c r="P3" s="15"/>
      <c r="Q3" s="15"/>
      <c r="R3" s="15"/>
      <c r="S3" s="15"/>
      <c r="T3" s="18"/>
      <c r="U3" s="18"/>
      <c r="V3" s="18"/>
      <c r="W3" s="18"/>
      <c r="X3" s="18"/>
      <c r="Y3" s="18"/>
      <c r="Z3" s="16"/>
      <c r="AA3" s="15"/>
      <c r="AB3" s="15"/>
      <c r="AC3" s="15"/>
      <c r="AD3" s="18"/>
      <c r="AE3" s="18"/>
      <c r="AF3" s="15"/>
      <c r="AG3" s="15"/>
      <c r="AH3" s="15"/>
      <c r="AI3" s="18"/>
      <c r="AJ3" s="18"/>
      <c r="AK3" s="17"/>
      <c r="AL3" s="17"/>
      <c r="AM3" s="17"/>
      <c r="AN3" s="16"/>
      <c r="AO3" s="16"/>
      <c r="AP3" s="17"/>
      <c r="AQ3" s="17"/>
      <c r="AR3" s="17"/>
      <c r="AS3" s="17"/>
    </row>
    <row r="4" spans="1:50" s="13" customFormat="1" ht="13" x14ac:dyDescent="0.3">
      <c r="A4" s="20">
        <v>1</v>
      </c>
      <c r="B4" s="20">
        <v>1</v>
      </c>
      <c r="C4" s="20" t="s">
        <v>40</v>
      </c>
      <c r="D4" s="17"/>
      <c r="E4" s="17"/>
      <c r="F4" s="17"/>
      <c r="G4" s="17"/>
      <c r="H4" s="17"/>
      <c r="I4" s="17"/>
      <c r="J4" s="17"/>
      <c r="K4" s="17"/>
      <c r="L4" s="17"/>
      <c r="M4" s="17"/>
      <c r="N4" s="15"/>
      <c r="O4" s="15"/>
      <c r="P4" s="15"/>
      <c r="Q4" s="15"/>
      <c r="R4" s="15"/>
      <c r="S4" s="15"/>
      <c r="T4" s="18"/>
      <c r="U4" s="18"/>
      <c r="V4" s="18"/>
      <c r="W4" s="18"/>
      <c r="X4" s="18"/>
      <c r="Y4" s="18"/>
      <c r="Z4" s="16"/>
      <c r="AA4" s="15"/>
      <c r="AB4" s="15"/>
      <c r="AC4" s="15"/>
      <c r="AD4" s="18"/>
      <c r="AE4" s="18"/>
      <c r="AF4" s="15"/>
      <c r="AG4" s="15"/>
      <c r="AH4" s="15"/>
      <c r="AI4" s="18"/>
      <c r="AJ4" s="18"/>
      <c r="AK4" s="17"/>
      <c r="AL4" s="17"/>
      <c r="AM4" s="17"/>
      <c r="AN4" s="16"/>
      <c r="AO4" s="16"/>
      <c r="AP4" s="17"/>
      <c r="AQ4" s="17"/>
      <c r="AR4" s="17"/>
      <c r="AS4" s="17"/>
    </row>
    <row r="5" spans="1:50" s="13" customFormat="1" ht="13" x14ac:dyDescent="0.3">
      <c r="A5" s="20">
        <v>1</v>
      </c>
      <c r="B5" s="20">
        <v>1</v>
      </c>
      <c r="C5" s="20" t="s">
        <v>39</v>
      </c>
      <c r="D5" s="17">
        <f>Scenario!AN21</f>
        <v>0.37339203160199785</v>
      </c>
      <c r="E5" s="17">
        <f>Scenario!AO21</f>
        <v>0.89041070258950428</v>
      </c>
      <c r="F5" s="17">
        <f>Scenario!AP21</f>
        <v>1.6255263073807924</v>
      </c>
      <c r="G5" s="17">
        <f>Scenario!AQ21</f>
        <v>2.9675471872727468</v>
      </c>
      <c r="H5" s="17">
        <f>Scenario!AR21</f>
        <v>7.0765724824131357</v>
      </c>
      <c r="I5" s="17">
        <f>IF((D5+'Non travel METs'!C5)&gt;2.5,(D5+'Non travel METs'!C5),0.1)</f>
        <v>58.173392031601992</v>
      </c>
      <c r="J5" s="17">
        <f>IF((E5+'Non travel METs'!D5)&gt;2.5,(E5+'Non travel METs'!D5),0.1)</f>
        <v>41.890410702589506</v>
      </c>
      <c r="K5" s="17">
        <f>IF((F5+'Non travel METs'!E5)&gt;2.5,(F5+'Non travel METs'!E5),0.1)</f>
        <v>47.125526307380795</v>
      </c>
      <c r="L5" s="17">
        <f>IF((G5+'Non travel METs'!F5)&gt;2.5,(G5+'Non travel METs'!F5),0.1)</f>
        <v>40.892547187272747</v>
      </c>
      <c r="M5" s="17">
        <f>IF((H5+'Non travel METs'!G5)&gt;2.5,(H5+'Non travel METs'!G5),0.1)</f>
        <v>48.076572482413134</v>
      </c>
      <c r="N5" s="19">
        <f>'Phy activity RRs'!$E$4</f>
        <v>0.96065247560449929</v>
      </c>
      <c r="O5" s="15">
        <f>IF(('user page'!$R$36=0),$N5^(I5^0.25),IF(('user page'!$R$36=1),$N5^(I5^0.5),IF(('user page'!$R$36=2),$N5^(I5^0.375),IF(('user page'!$R$36=4),$N5^(I5),IF(('user page'!$R$36=3),$N5^(LN(1+I5)),"")))))</f>
        <v>0.73625902529261467</v>
      </c>
      <c r="P5" s="15">
        <f>IF(('user page'!$R$36=0),$N5^(J5^0.25),IF(('user page'!$R$36=1),$N5^(J5^0.5),IF(('user page'!$R$36=2),$N5^(J5^0.375),IF(('user page'!$R$36=4),$N5^(J5),IF(('user page'!$R$36=3),$N5^(LN(1+J5)),"")))))</f>
        <v>0.77119507895645234</v>
      </c>
      <c r="Q5" s="15">
        <f>IF(('user page'!$R$36=0),$N5^(K5^0.25),IF(('user page'!$R$36=1),$N5^(K5^0.5),IF(('user page'!$R$36=2),$N5^(K5^0.375),IF(('user page'!$R$36=4),$N5^(K5),IF(('user page'!$R$36=3),$N5^(LN(1+K5)),"")))))</f>
        <v>0.75913867806534152</v>
      </c>
      <c r="R5" s="15">
        <f>IF(('user page'!$R$36=0),$N5^(L5^0.25),IF(('user page'!$R$36=1),$N5^(L5^0.5),IF(('user page'!$R$36=2),$N5^(L5^0.375),IF(('user page'!$R$36=4),$N5^(L5),IF(('user page'!$R$36=3),$N5^(LN(1+L5)),"")))))</f>
        <v>0.77359965823324339</v>
      </c>
      <c r="S5" s="15">
        <f>IF(('user page'!$R$36=0),$N5^(M5^0.25),IF(('user page'!$R$36=1),$N5^(M5^0.5),IF(('user page'!$R$36=2),$N5^(M5^0.375),IF(('user page'!$R$36=4),$N5^(M5),IF(('user page'!$R$36=3),$N5^(LN(1+M5)),"")))))</f>
        <v>0.75704121499586319</v>
      </c>
      <c r="T5" s="18">
        <f t="shared" ref="T5:X10" si="0">O5/$O5</f>
        <v>1</v>
      </c>
      <c r="U5" s="18">
        <f t="shared" si="0"/>
        <v>1.0474507645593245</v>
      </c>
      <c r="V5" s="18">
        <f t="shared" si="0"/>
        <v>1.031075548124702</v>
      </c>
      <c r="W5" s="18">
        <f t="shared" si="0"/>
        <v>1.0507167065636829</v>
      </c>
      <c r="X5" s="18">
        <f t="shared" si="0"/>
        <v>1.0282267367724136</v>
      </c>
      <c r="Y5" s="30">
        <f>1-Z5</f>
        <v>-3.8444983009755518E-4</v>
      </c>
      <c r="Z5" s="269">
        <f t="shared" ref="Z5:Z10" si="1">SUM(O5:S5)/SUM(O22:S22)</f>
        <v>1.0003844498300976</v>
      </c>
      <c r="AA5" s="17">
        <f>Z5*GBDNZ!$E22/($T5+$W5+$X5+U5+V5)</f>
        <v>0.34087655196946087</v>
      </c>
      <c r="AB5" s="16">
        <f t="shared" ref="AB5:AE10" si="2">$AA5*U5</f>
        <v>0.3570514049807581</v>
      </c>
      <c r="AC5" s="16">
        <f t="shared" si="2"/>
        <v>0.35146947766477032</v>
      </c>
      <c r="AD5" s="16">
        <f t="shared" si="2"/>
        <v>0.35816468803013601</v>
      </c>
      <c r="AE5" s="16">
        <f t="shared" si="2"/>
        <v>0.3504983846737908</v>
      </c>
      <c r="AF5" s="17">
        <f>Z5*GBDNZ!$F22/($T5+$W5+$X5+U5+V5)</f>
        <v>21.103127027446348</v>
      </c>
      <c r="AG5" s="16">
        <f t="shared" ref="AG5:AJ10" si="3">$AF5*U5</f>
        <v>22.104486539491223</v>
      </c>
      <c r="AH5" s="16">
        <f t="shared" si="3"/>
        <v>21.758918266969456</v>
      </c>
      <c r="AI5" s="16">
        <f t="shared" si="3"/>
        <v>22.173408128473469</v>
      </c>
      <c r="AJ5" s="16">
        <f t="shared" si="3"/>
        <v>21.698799439124883</v>
      </c>
      <c r="AK5" s="17">
        <f>Z5*GBDNZ!$G22/($T5+$W5+$X5+U5+V5)</f>
        <v>0.48831036049746862</v>
      </c>
      <c r="AL5" s="16">
        <f t="shared" ref="AL5:AO10" si="4">$AK5*U5</f>
        <v>0.51148106044531283</v>
      </c>
      <c r="AM5" s="16">
        <f t="shared" si="4"/>
        <v>0.50348487260489827</v>
      </c>
      <c r="AN5" s="16">
        <f t="shared" si="4"/>
        <v>0.51307585376282494</v>
      </c>
      <c r="AO5" s="16">
        <f t="shared" si="4"/>
        <v>0.50209376850647303</v>
      </c>
      <c r="AP5" s="17">
        <f>AA5+AB5+AE5+AC5+AD5-AC22-AD22-AA22-AB22-AE22</f>
        <v>6.7562631891632252E-4</v>
      </c>
      <c r="AQ5" s="17">
        <f>AF5+AG5+AJ5+AH5+AI5-AH22-AI22-AG22-AJ22-AF22</f>
        <v>4.1826954505385316E-2</v>
      </c>
      <c r="AR5" s="17">
        <f>AK5+AL5+AO5-AK22+AM5+AN5-AM22-AN22-AL22-AO22</f>
        <v>9.6784401697769251E-4</v>
      </c>
      <c r="AS5" s="17">
        <f t="shared" ref="AS5:AS10" si="5">AQ5+AR5</f>
        <v>4.2794798522363009E-2</v>
      </c>
    </row>
    <row r="6" spans="1:50" s="13" customFormat="1" ht="13" x14ac:dyDescent="0.3">
      <c r="A6" s="20">
        <v>1</v>
      </c>
      <c r="B6" s="20">
        <v>1</v>
      </c>
      <c r="C6" s="20" t="s">
        <v>38</v>
      </c>
      <c r="D6" s="17">
        <f>Scenario!AN22</f>
        <v>0.24273184972454737</v>
      </c>
      <c r="E6" s="17">
        <f>Scenario!AO22</f>
        <v>0.57883141192595211</v>
      </c>
      <c r="F6" s="17">
        <f>Scenario!AP22</f>
        <v>1.0567097687478921</v>
      </c>
      <c r="G6" s="17">
        <f>Scenario!AQ22</f>
        <v>1.9291204871757561</v>
      </c>
      <c r="H6" s="17">
        <f>Scenario!AR22</f>
        <v>4.600284374029961</v>
      </c>
      <c r="I6" s="17">
        <f>IF((D6+'Non travel METs'!C6)&gt;2.5,(D6+'Non travel METs'!C6),0.1)</f>
        <v>51.492731849724549</v>
      </c>
      <c r="J6" s="17">
        <f>IF((E6+'Non travel METs'!D6)&gt;2.5,(E6+'Non travel METs'!D6),0.1)</f>
        <v>51.828831411925954</v>
      </c>
      <c r="K6" s="17">
        <f>IF((F6+'Non travel METs'!E6)&gt;2.5,(F6+'Non travel METs'!E6),0.1)</f>
        <v>65.806709768747893</v>
      </c>
      <c r="L6" s="17">
        <f>IF((G6+'Non travel METs'!F6)&gt;2.5,(G6+'Non travel METs'!F6),0.1)</f>
        <v>48.054120487175759</v>
      </c>
      <c r="M6" s="17">
        <f>IF((H6+'Non travel METs'!G6)&gt;2.5,(H6+'Non travel METs'!G6),0.1)</f>
        <v>49.400284374029958</v>
      </c>
      <c r="N6" s="19">
        <f>'Phy activity RRs'!$E$4</f>
        <v>0.96065247560449929</v>
      </c>
      <c r="O6" s="15">
        <f>IF(('user page'!$R$36=0),$N6^(I6^0.25),IF(('user page'!$R$36=1),$N6^(I6^0.5),IF(('user page'!$R$36=2),$N6^(I6^0.375),IF(('user page'!$R$36=4),$N6^(I6),IF(('user page'!$R$36=3),$N6^(LN(1+I6)),"")))))</f>
        <v>0.74971903902846604</v>
      </c>
      <c r="P6" s="15">
        <f>IF(('user page'!$R$36=0),$N6^(J6^0.25),IF(('user page'!$R$36=1),$N6^(J6^0.5),IF(('user page'!$R$36=2),$N6^(J6^0.375),IF(('user page'!$R$36=4),$N6^(J6),IF(('user page'!$R$36=3),$N6^(LN(1+J6)),"")))))</f>
        <v>0.74901571105725762</v>
      </c>
      <c r="Q6" s="15">
        <f>IF(('user page'!$R$36=0),$N6^(K6^0.25),IF(('user page'!$R$36=1),$N6^(K6^0.5),IF(('user page'!$R$36=2),$N6^(K6^0.375),IF(('user page'!$R$36=4),$N6^(K6),IF(('user page'!$R$36=3),$N6^(LN(1+K6)),"")))))</f>
        <v>0.72206376116469773</v>
      </c>
      <c r="R6" s="15">
        <f>IF(('user page'!$R$36=0),$N6^(L6^0.25),IF(('user page'!$R$36=1),$N6^(L6^0.5),IF(('user page'!$R$36=2),$N6^(L6^0.375),IF(('user page'!$R$36=4),$N6^(L6),IF(('user page'!$R$36=3),$N6^(LN(1+L6)),"")))))</f>
        <v>0.75709042434825879</v>
      </c>
      <c r="S6" s="15">
        <f>IF(('user page'!$R$36=0),$N6^(M6^0.25),IF(('user page'!$R$36=1),$N6^(M6^0.5),IF(('user page'!$R$36=2),$N6^(M6^0.375),IF(('user page'!$R$36=4),$N6^(M6),IF(('user page'!$R$36=3),$N6^(LN(1+M6)),"")))))</f>
        <v>0.75416556384640254</v>
      </c>
      <c r="T6" s="18">
        <f t="shared" si="0"/>
        <v>1</v>
      </c>
      <c r="U6" s="18">
        <f t="shared" si="0"/>
        <v>0.99906187793747392</v>
      </c>
      <c r="V6" s="18">
        <f t="shared" si="0"/>
        <v>0.96311247757612528</v>
      </c>
      <c r="W6" s="18">
        <f t="shared" si="0"/>
        <v>1.0098321970445689</v>
      </c>
      <c r="X6" s="18">
        <f t="shared" si="0"/>
        <v>1.0059309215672294</v>
      </c>
      <c r="Y6" s="30">
        <f t="shared" ref="Y6:Y18" si="6">1-Z6</f>
        <v>-1.5390271377579978E-4</v>
      </c>
      <c r="Z6" s="269">
        <f t="shared" si="1"/>
        <v>1.0001539027137758</v>
      </c>
      <c r="AA6" s="17">
        <f>Z6*GBDNZ!$E23/($T6+$W6+$X6+U6+V6)</f>
        <v>2.3182330439366026</v>
      </c>
      <c r="AB6" s="16">
        <f t="shared" si="2"/>
        <v>2.3160582583720086</v>
      </c>
      <c r="AC6" s="16">
        <f t="shared" si="2"/>
        <v>2.2327191705446237</v>
      </c>
      <c r="AD6" s="16">
        <f t="shared" si="2"/>
        <v>2.341026368019818</v>
      </c>
      <c r="AE6" s="16">
        <f t="shared" si="2"/>
        <v>2.3319823022947501</v>
      </c>
      <c r="AF6" s="17">
        <f>Z6*GBDNZ!$F23/($T6+$W6+$X6+U6+V6)</f>
        <v>109.78805648857484</v>
      </c>
      <c r="AG6" s="16">
        <f t="shared" si="3"/>
        <v>109.68506189058105</v>
      </c>
      <c r="AH6" s="16">
        <f t="shared" si="3"/>
        <v>105.73824709297891</v>
      </c>
      <c r="AI6" s="16">
        <f t="shared" si="3"/>
        <v>110.86751429311077</v>
      </c>
      <c r="AJ6" s="16">
        <f t="shared" si="3"/>
        <v>110.43920084062712</v>
      </c>
      <c r="AK6" s="17">
        <f>Z6*GBDNZ!$G23/($T6+$W6+$X6+U6+V6)</f>
        <v>3.8614215303355612</v>
      </c>
      <c r="AL6" s="16">
        <f t="shared" si="4"/>
        <v>3.85779904560524</v>
      </c>
      <c r="AM6" s="16">
        <f t="shared" si="4"/>
        <v>3.7189832570472756</v>
      </c>
      <c r="AN6" s="16">
        <f t="shared" si="4"/>
        <v>3.8993877876939615</v>
      </c>
      <c r="AO6" s="16">
        <f t="shared" si="4"/>
        <v>3.8843233185699924</v>
      </c>
      <c r="AP6" s="17">
        <f t="shared" ref="AP6:AP18" si="7">AA6+AB6+AE6+AC6+AD6-AC23-AD23-AA23-AB23-AE23</f>
        <v>1.7757669678037935E-3</v>
      </c>
      <c r="AQ6" s="17">
        <f t="shared" ref="AQ6:AQ18" si="8">AF6+AG6+AJ6+AH6+AI6-AH23-AI23-AG23-AJ23-AF23</f>
        <v>8.4097672872687212E-2</v>
      </c>
      <c r="AR6" s="17">
        <f t="shared" ref="AR6:AR18" si="9">AK6+AL6+AO6-AK23+AM6+AN6-AM23-AN23-AL23-AO23</f>
        <v>2.9578496520259456E-3</v>
      </c>
      <c r="AS6" s="17">
        <f t="shared" si="5"/>
        <v>8.7055522524713158E-2</v>
      </c>
    </row>
    <row r="7" spans="1:50" s="13" customFormat="1" ht="13" x14ac:dyDescent="0.3">
      <c r="A7" s="20">
        <v>1</v>
      </c>
      <c r="B7" s="20">
        <v>1</v>
      </c>
      <c r="C7" s="20" t="s">
        <v>37</v>
      </c>
      <c r="D7" s="17">
        <f>Scenario!AN23</f>
        <v>0.44101223863405448</v>
      </c>
      <c r="E7" s="17">
        <f>Scenario!AO23</f>
        <v>1.0516614818156649</v>
      </c>
      <c r="F7" s="17">
        <f>Scenario!AP23</f>
        <v>1.9199043769114967</v>
      </c>
      <c r="G7" s="17">
        <f>Scenario!AQ23</f>
        <v>3.5049613209376891</v>
      </c>
      <c r="H7" s="17">
        <f>Scenario!AR23</f>
        <v>8.3581191032263789</v>
      </c>
      <c r="I7" s="17">
        <f>IF((D7+'Non travel METs'!C7)&gt;2.5,(D7+'Non travel METs'!C7),0.1)</f>
        <v>58.71601223863405</v>
      </c>
      <c r="J7" s="17">
        <f>IF((E7+'Non travel METs'!D7)&gt;2.5,(E7+'Non travel METs'!D7),0.1)</f>
        <v>62.551661481815664</v>
      </c>
      <c r="K7" s="17">
        <f>IF((F7+'Non travel METs'!E7)&gt;2.5,(F7+'Non travel METs'!E7),0.1)</f>
        <v>55.644904376911498</v>
      </c>
      <c r="L7" s="17">
        <f>IF((G7+'Non travel METs'!F7)&gt;2.5,(G7+'Non travel METs'!F7),0.1)</f>
        <v>55.704961320937691</v>
      </c>
      <c r="M7" s="17">
        <f>IF((H7+'Non travel METs'!G7)&gt;2.5,(H7+'Non travel METs'!G7),0.1)</f>
        <v>55.058119103226382</v>
      </c>
      <c r="N7" s="19">
        <f>'Phy activity RRs'!$E$4</f>
        <v>0.96065247560449929</v>
      </c>
      <c r="O7" s="15">
        <f>IF(('user page'!$R$36=0),$N7^(I7^0.25),IF(('user page'!$R$36=1),$N7^(I7^0.5),IF(('user page'!$R$36=2),$N7^(I7^0.375),IF(('user page'!$R$36=4),$N7^(I7),IF(('user page'!$R$36=3),$N7^(LN(1+I7)),"")))))</f>
        <v>0.73521088123002787</v>
      </c>
      <c r="P7" s="15">
        <f>IF(('user page'!$R$36=0),$N7^(J7^0.25),IF(('user page'!$R$36=1),$N7^(J7^0.5),IF(('user page'!$R$36=2),$N7^(J7^0.375),IF(('user page'!$R$36=4),$N7^(J7),IF(('user page'!$R$36=3),$N7^(LN(1+J7)),"")))))</f>
        <v>0.72797690082850453</v>
      </c>
      <c r="Q7" s="15">
        <f>IF(('user page'!$R$36=0),$N7^(K7^0.25),IF(('user page'!$R$36=1),$N7^(K7^0.5),IF(('user page'!$R$36=2),$N7^(K7^0.375),IF(('user page'!$R$36=4),$N7^(K7),IF(('user page'!$R$36=3),$N7^(LN(1+K7)),"")))))</f>
        <v>0.74122911314400819</v>
      </c>
      <c r="R7" s="15">
        <f>IF(('user page'!$R$36=0),$N7^(L7^0.25),IF(('user page'!$R$36=1),$N7^(L7^0.5),IF(('user page'!$R$36=2),$N7^(L7^0.375),IF(('user page'!$R$36=4),$N7^(L7),IF(('user page'!$R$36=3),$N7^(LN(1+L7)),"")))))</f>
        <v>0.7411093768289303</v>
      </c>
      <c r="S7" s="15">
        <f>IF(('user page'!$R$36=0),$N7^(M7^0.25),IF(('user page'!$R$36=1),$N7^(M7^0.5),IF(('user page'!$R$36=2),$N7^(M7^0.375),IF(('user page'!$R$36=4),$N7^(M7),IF(('user page'!$R$36=3),$N7^(LN(1+M7)),"")))))</f>
        <v>0.74240343558246225</v>
      </c>
      <c r="T7" s="18">
        <f t="shared" si="0"/>
        <v>1</v>
      </c>
      <c r="U7" s="18">
        <f t="shared" si="0"/>
        <v>0.99016067282706599</v>
      </c>
      <c r="V7" s="18">
        <f t="shared" si="0"/>
        <v>1.0081857220392489</v>
      </c>
      <c r="W7" s="18">
        <f t="shared" si="0"/>
        <v>1.0080228622147622</v>
      </c>
      <c r="X7" s="18">
        <f t="shared" si="0"/>
        <v>1.0097829813677417</v>
      </c>
      <c r="Y7" s="30">
        <f t="shared" si="6"/>
        <v>-6.9860312761127474E-5</v>
      </c>
      <c r="Z7" s="269">
        <f t="shared" si="1"/>
        <v>1.0000698603127611</v>
      </c>
      <c r="AA7" s="17">
        <f>Z7*GBDNZ!$E24/($T7+$W7+$X7+U7+V7)</f>
        <v>18.537884408015643</v>
      </c>
      <c r="AB7" s="16">
        <f t="shared" si="2"/>
        <v>18.355484098231145</v>
      </c>
      <c r="AC7" s="16">
        <f t="shared" si="2"/>
        <v>18.689630376975387</v>
      </c>
      <c r="AD7" s="16">
        <f t="shared" si="2"/>
        <v>18.686611300374341</v>
      </c>
      <c r="AE7" s="16">
        <f t="shared" si="2"/>
        <v>18.719240185776609</v>
      </c>
      <c r="AF7" s="17">
        <f>Z7*GBDNZ!$F24/($T7+$W7+$X7+U7+V7)</f>
        <v>624.20797349958991</v>
      </c>
      <c r="AG7" s="16">
        <f t="shared" si="3"/>
        <v>618.06618702437333</v>
      </c>
      <c r="AH7" s="16">
        <f t="shared" si="3"/>
        <v>629.31756646534041</v>
      </c>
      <c r="AI7" s="16">
        <f t="shared" si="3"/>
        <v>629.21590806433312</v>
      </c>
      <c r="AJ7" s="16">
        <f t="shared" si="3"/>
        <v>630.31458847393219</v>
      </c>
      <c r="AK7" s="17">
        <f>Z7*GBDNZ!$G24/($T7+$W7+$X7+U7+V7)</f>
        <v>27.696307779150754</v>
      </c>
      <c r="AL7" s="16">
        <f t="shared" si="4"/>
        <v>27.423794745429412</v>
      </c>
      <c r="AM7" s="16">
        <f t="shared" si="4"/>
        <v>27.923022056144369</v>
      </c>
      <c r="AN7" s="16">
        <f t="shared" si="4"/>
        <v>27.918511440320529</v>
      </c>
      <c r="AO7" s="16">
        <f t="shared" si="4"/>
        <v>27.967260242109425</v>
      </c>
      <c r="AP7" s="17">
        <f t="shared" si="7"/>
        <v>6.495776373132145E-3</v>
      </c>
      <c r="AQ7" s="17">
        <f t="shared" si="8"/>
        <v>0.21872589756935668</v>
      </c>
      <c r="AR7" s="17">
        <f t="shared" si="9"/>
        <v>9.7049381544955793E-3</v>
      </c>
      <c r="AS7" s="17">
        <f t="shared" si="5"/>
        <v>0.22843083572385225</v>
      </c>
    </row>
    <row r="8" spans="1:50" s="13" customFormat="1" ht="13" x14ac:dyDescent="0.3">
      <c r="A8" s="20">
        <v>1</v>
      </c>
      <c r="B8" s="20">
        <v>1</v>
      </c>
      <c r="C8" s="20" t="s">
        <v>36</v>
      </c>
      <c r="D8" s="17">
        <f>Scenario!AN24</f>
        <v>0.39571511265083242</v>
      </c>
      <c r="E8" s="17">
        <f>Scenario!AO24</f>
        <v>0.94364352117798989</v>
      </c>
      <c r="F8" s="17">
        <f>Scenario!AP24</f>
        <v>1.7227076943294906</v>
      </c>
      <c r="G8" s="17">
        <f>Scenario!AQ24</f>
        <v>3.1449607118557816</v>
      </c>
      <c r="H8" s="17">
        <f>Scenario!AR24</f>
        <v>7.4996423063595765</v>
      </c>
      <c r="I8" s="17">
        <f>IF((D8+'Non travel METs'!C8)&gt;2.5,(D8+'Non travel METs'!C8),0.1)</f>
        <v>41.395715112650834</v>
      </c>
      <c r="J8" s="17">
        <f>IF((E8+'Non travel METs'!D8)&gt;2.5,(E8+'Non travel METs'!D8),0.1)</f>
        <v>32.193643521177989</v>
      </c>
      <c r="K8" s="17">
        <f>IF((F8+'Non travel METs'!E8)&gt;2.5,(F8+'Non travel METs'!E8),0.1)</f>
        <v>45.806041027662793</v>
      </c>
      <c r="L8" s="17">
        <f>IF((G8+'Non travel METs'!F8)&gt;2.5,(G8+'Non travel METs'!F8),0.1)</f>
        <v>45.644960711855781</v>
      </c>
      <c r="M8" s="17">
        <f>IF((H8+'Non travel METs'!G8)&gt;2.5,(H8+'Non travel METs'!G8),0.1)</f>
        <v>40.299642306359573</v>
      </c>
      <c r="N8" s="19">
        <f>'Phy activity RRs'!$E$4</f>
        <v>0.96065247560449929</v>
      </c>
      <c r="O8" s="15">
        <f>IF(('user page'!$R$36=0),$N8^(I8^0.25),IF(('user page'!$R$36=1),$N8^(I8^0.5),IF(('user page'!$R$36=2),$N8^(I8^0.375),IF(('user page'!$R$36=4),$N8^(I8),IF(('user page'!$R$36=3),$N8^(LN(1+I8)),"")))))</f>
        <v>0.77238260224629807</v>
      </c>
      <c r="P8" s="15">
        <f>IF(('user page'!$R$36=0),$N8^(J8^0.25),IF(('user page'!$R$36=1),$N8^(J8^0.5),IF(('user page'!$R$36=2),$N8^(J8^0.375),IF(('user page'!$R$36=4),$N8^(J8),IF(('user page'!$R$36=3),$N8^(LN(1+J8)),"")))))</f>
        <v>0.7963100437285261</v>
      </c>
      <c r="Q8" s="15">
        <f>IF(('user page'!$R$36=0),$N8^(K8^0.25),IF(('user page'!$R$36=1),$N8^(K8^0.5),IF(('user page'!$R$36=2),$N8^(K8^0.375),IF(('user page'!$R$36=4),$N8^(K8),IF(('user page'!$R$36=3),$N8^(LN(1+K8)),"")))))</f>
        <v>0.76209389277615347</v>
      </c>
      <c r="R8" s="15">
        <f>IF(('user page'!$R$36=0),$N8^(L8^0.25),IF(('user page'!$R$36=1),$N8^(L8^0.5),IF(('user page'!$R$36=2),$N8^(L8^0.375),IF(('user page'!$R$36=4),$N8^(L8),IF(('user page'!$R$36=3),$N8^(LN(1+L8)),"")))))</f>
        <v>0.76245835357151592</v>
      </c>
      <c r="S8" s="15">
        <f>IF(('user page'!$R$36=0),$N8^(M8^0.25),IF(('user page'!$R$36=1),$N8^(M8^0.5),IF(('user page'!$R$36=2),$N8^(M8^0.375),IF(('user page'!$R$36=4),$N8^(M8),IF(('user page'!$R$36=3),$N8^(LN(1+M8)),"")))))</f>
        <v>0.77504590635556003</v>
      </c>
      <c r="T8" s="18">
        <f t="shared" si="0"/>
        <v>1</v>
      </c>
      <c r="U8" s="18">
        <f t="shared" si="0"/>
        <v>1.0309787421578898</v>
      </c>
      <c r="V8" s="18">
        <f t="shared" si="0"/>
        <v>0.98667925787009925</v>
      </c>
      <c r="W8" s="18">
        <f t="shared" si="0"/>
        <v>0.98715112348993916</v>
      </c>
      <c r="X8" s="18">
        <f t="shared" si="0"/>
        <v>1.0034481668819526</v>
      </c>
      <c r="Y8" s="30">
        <f t="shared" si="6"/>
        <v>-5.747275349847758E-4</v>
      </c>
      <c r="Z8" s="269">
        <f t="shared" si="1"/>
        <v>1.0005747275349848</v>
      </c>
      <c r="AA8" s="17">
        <f>Z8*GBDNZ!$E25/($T8+$W8+$X8+U8+V8)</f>
        <v>40.17635495195686</v>
      </c>
      <c r="AB8" s="16">
        <f t="shared" si="2"/>
        <v>41.420967892857391</v>
      </c>
      <c r="AC8" s="16">
        <f t="shared" si="2"/>
        <v>39.641176087922481</v>
      </c>
      <c r="AD8" s="16">
        <f t="shared" si="2"/>
        <v>39.660133928554792</v>
      </c>
      <c r="AE8" s="16">
        <f t="shared" si="2"/>
        <v>40.314889728539768</v>
      </c>
      <c r="AF8" s="17">
        <f>Z8*GBDNZ!$F25/($T8+$W8+$X8+U8+V8)</f>
        <v>944.17523219289967</v>
      </c>
      <c r="AG8" s="16">
        <f t="shared" si="3"/>
        <v>973.42459326286917</v>
      </c>
      <c r="AH8" s="16">
        <f t="shared" si="3"/>
        <v>931.59811739941892</v>
      </c>
      <c r="AI8" s="16">
        <f t="shared" si="3"/>
        <v>932.04364123059509</v>
      </c>
      <c r="AJ8" s="16">
        <f t="shared" si="3"/>
        <v>947.4309059593071</v>
      </c>
      <c r="AK8" s="17">
        <f>Z8*GBDNZ!$G25/($T8+$W8+$X8+U8+V8)</f>
        <v>49.574218031429581</v>
      </c>
      <c r="AL8" s="16">
        <f t="shared" si="4"/>
        <v>51.109964949504246</v>
      </c>
      <c r="AM8" s="16">
        <f t="shared" si="4"/>
        <v>48.913852656741433</v>
      </c>
      <c r="AN8" s="16">
        <f t="shared" si="4"/>
        <v>48.937245025860911</v>
      </c>
      <c r="AO8" s="16">
        <f t="shared" si="4"/>
        <v>49.745158208244256</v>
      </c>
      <c r="AP8" s="17">
        <f t="shared" si="7"/>
        <v>0.11557652683127628</v>
      </c>
      <c r="AQ8" s="17">
        <f t="shared" si="8"/>
        <v>2.7161372450898398</v>
      </c>
      <c r="AR8" s="17">
        <f t="shared" si="9"/>
        <v>0.14261164178036978</v>
      </c>
      <c r="AS8" s="17">
        <f t="shared" si="5"/>
        <v>2.8587488868702096</v>
      </c>
    </row>
    <row r="9" spans="1:50" s="13" customFormat="1" ht="13" x14ac:dyDescent="0.3">
      <c r="A9" s="20">
        <v>1</v>
      </c>
      <c r="B9" s="20">
        <v>1</v>
      </c>
      <c r="C9" s="20" t="s">
        <v>35</v>
      </c>
      <c r="D9" s="17">
        <f>Scenario!AN25</f>
        <v>0.48300262725816756</v>
      </c>
      <c r="E9" s="17">
        <f>Scenario!AO25</f>
        <v>1.1517940188609537</v>
      </c>
      <c r="F9" s="17">
        <f>Scenario!AP25</f>
        <v>2.1027054963483303</v>
      </c>
      <c r="G9" s="17">
        <f>Scenario!AQ25</f>
        <v>3.8386815107321977</v>
      </c>
      <c r="H9" s="17">
        <f>Scenario!AR25</f>
        <v>9.1539262000954498</v>
      </c>
      <c r="I9" s="17">
        <f>IF((D9+'Non travel METs'!C9)&gt;2.5,(D9+'Non travel METs'!C9),0.1)</f>
        <v>4.858002627258168</v>
      </c>
      <c r="J9" s="17">
        <f>IF((E9+'Non travel METs'!D9)&gt;2.5,(E9+'Non travel METs'!D9),0.1)</f>
        <v>6.1517940188609535</v>
      </c>
      <c r="K9" s="17">
        <f>IF((F9+'Non travel METs'!E9)&gt;2.5,(F9+'Non travel METs'!E9),0.1)</f>
        <v>10.43603882968166</v>
      </c>
      <c r="L9" s="17">
        <f>IF((G9+'Non travel METs'!F9)&gt;2.5,(G9+'Non travel METs'!F9),0.1)</f>
        <v>7.5886815107321972</v>
      </c>
      <c r="M9" s="17">
        <f>IF((H9+'Non travel METs'!G9)&gt;2.5,(H9+'Non travel METs'!G9),0.1)</f>
        <v>22.278926200095448</v>
      </c>
      <c r="N9" s="19">
        <f>'Phy activity RRs'!$E$4</f>
        <v>0.96065247560449929</v>
      </c>
      <c r="O9" s="15">
        <f>IF(('user page'!$R$36=0),$N9^(I9^0.25),IF(('user page'!$R$36=1),$N9^(I9^0.5),IF(('user page'!$R$36=2),$N9^(I9^0.375),IF(('user page'!$R$36=4),$N9^(I9),IF(('user page'!$R$36=3),$N9^(LN(1+I9)),"")))))</f>
        <v>0.9153234944363523</v>
      </c>
      <c r="P9" s="15">
        <f>IF(('user page'!$R$36=0),$N9^(J9^0.25),IF(('user page'!$R$36=1),$N9^(J9^0.5),IF(('user page'!$R$36=2),$N9^(J9^0.375),IF(('user page'!$R$36=4),$N9^(J9),IF(('user page'!$R$36=3),$N9^(LN(1+J9)),"")))))</f>
        <v>0.90523125413358674</v>
      </c>
      <c r="Q9" s="15">
        <f>IF(('user page'!$R$36=0),$N9^(K9^0.25),IF(('user page'!$R$36=1),$N9^(K9^0.5),IF(('user page'!$R$36=2),$N9^(K9^0.375),IF(('user page'!$R$36=4),$N9^(K9),IF(('user page'!$R$36=3),$N9^(LN(1+K9)),"")))))</f>
        <v>0.87837648158868242</v>
      </c>
      <c r="R9" s="15">
        <f>IF(('user page'!$R$36=0),$N9^(L9^0.25),IF(('user page'!$R$36=1),$N9^(L9^0.5),IF(('user page'!$R$36=2),$N9^(L9^0.375),IF(('user page'!$R$36=4),$N9^(L9),IF(('user page'!$R$36=3),$N9^(LN(1+L9)),"")))))</f>
        <v>0.89531203985012364</v>
      </c>
      <c r="S9" s="15">
        <f>IF(('user page'!$R$36=0),$N9^(M9^0.25),IF(('user page'!$R$36=1),$N9^(M9^0.5),IF(('user page'!$R$36=2),$N9^(M9^0.375),IF(('user page'!$R$36=4),$N9^(M9),IF(('user page'!$R$36=3),$N9^(LN(1+M9)),"")))))</f>
        <v>0.82739328864971362</v>
      </c>
      <c r="T9" s="18">
        <f t="shared" si="0"/>
        <v>1</v>
      </c>
      <c r="U9" s="18">
        <f t="shared" si="0"/>
        <v>0.98897412732863343</v>
      </c>
      <c r="V9" s="237">
        <f t="shared" si="0"/>
        <v>0.95963502185593796</v>
      </c>
      <c r="W9" s="18">
        <f t="shared" si="0"/>
        <v>0.97813728730021121</v>
      </c>
      <c r="X9" s="18">
        <f t="shared" si="0"/>
        <v>0.90393537768766086</v>
      </c>
      <c r="Y9" s="30">
        <f t="shared" si="6"/>
        <v>-1.1374305424778353E-3</v>
      </c>
      <c r="Z9" s="269">
        <f t="shared" si="1"/>
        <v>1.0011374305424778</v>
      </c>
      <c r="AA9" s="17">
        <f>Z9*GBDNZ!$E26/($T9+$W9+$X9+U9+V9)</f>
        <v>49.174727361107564</v>
      </c>
      <c r="AB9" s="16">
        <f t="shared" si="2"/>
        <v>48.632533078574824</v>
      </c>
      <c r="AC9" s="16">
        <f t="shared" si="2"/>
        <v>47.189790565936249</v>
      </c>
      <c r="AD9" s="16">
        <f t="shared" si="2"/>
        <v>48.099634424721224</v>
      </c>
      <c r="AE9" s="16">
        <f t="shared" si="2"/>
        <v>44.450775749850514</v>
      </c>
      <c r="AF9" s="17">
        <f>Z9*GBDNZ!$F26/($T9+$W9+$X9+U9+V9)</f>
        <v>749.33513209435034</v>
      </c>
      <c r="AG9" s="16">
        <f t="shared" si="3"/>
        <v>741.07305833969644</v>
      </c>
      <c r="AH9" s="16">
        <f t="shared" si="3"/>
        <v>719.088235864784</v>
      </c>
      <c r="AI9" s="16">
        <f t="shared" si="3"/>
        <v>732.95263338551331</v>
      </c>
      <c r="AJ9" s="16">
        <f t="shared" si="3"/>
        <v>677.35053564433986</v>
      </c>
      <c r="AK9" s="17">
        <f>Z9*GBDNZ!$G26/($T9+$W9+$X9+U9+V9)</f>
        <v>52.618185489472019</v>
      </c>
      <c r="AL9" s="16">
        <f t="shared" si="4"/>
        <v>52.038024076066755</v>
      </c>
      <c r="AM9" s="16">
        <f t="shared" si="4"/>
        <v>50.494253582209282</v>
      </c>
      <c r="AN9" s="16">
        <f t="shared" si="4"/>
        <v>51.467809217331499</v>
      </c>
      <c r="AO9" s="16">
        <f t="shared" si="4"/>
        <v>47.563439373665283</v>
      </c>
      <c r="AP9" s="17">
        <f t="shared" si="7"/>
        <v>0.26988676019036006</v>
      </c>
      <c r="AQ9" s="17">
        <f t="shared" si="8"/>
        <v>4.112592828683546</v>
      </c>
      <c r="AR9" s="17">
        <f t="shared" si="9"/>
        <v>0.28878556874484218</v>
      </c>
      <c r="AS9" s="17">
        <f t="shared" si="5"/>
        <v>4.4013783974283882</v>
      </c>
    </row>
    <row r="10" spans="1:50" s="13" customFormat="1" ht="13" x14ac:dyDescent="0.3">
      <c r="A10" s="20">
        <v>1</v>
      </c>
      <c r="B10" s="20">
        <v>1</v>
      </c>
      <c r="C10" s="20" t="s">
        <v>34</v>
      </c>
      <c r="D10" s="17">
        <f>Scenario!AN26</f>
        <v>0.23447740333822151</v>
      </c>
      <c r="E10" s="17">
        <f>Scenario!AO26</f>
        <v>0.55914741552463088</v>
      </c>
      <c r="F10" s="17">
        <f>Scenario!AP26</f>
        <v>1.0207748300823047</v>
      </c>
      <c r="G10" s="17">
        <f>Scenario!AQ26</f>
        <v>1.8635179646710851</v>
      </c>
      <c r="H10" s="17">
        <f>Scenario!AR26</f>
        <v>4.4438450737470596</v>
      </c>
      <c r="I10" s="17">
        <f>IF((D10+'Non travel METs'!C10)&gt;2.5,(D10+'Non travel METs'!C10),0.1)</f>
        <v>0.1</v>
      </c>
      <c r="J10" s="17">
        <f>IF((E10+'Non travel METs'!D10)&gt;2.5,(E10+'Non travel METs'!D10),0.1)</f>
        <v>10.559147415524631</v>
      </c>
      <c r="K10" s="17">
        <f>IF((F10+'Non travel METs'!E10)&gt;2.5,(F10+'Non travel METs'!E10),0.1)</f>
        <v>4.7707748300823045</v>
      </c>
      <c r="L10" s="17">
        <f>IF((G10+'Non travel METs'!F10)&gt;2.5,(G10+'Non travel METs'!F10),0.1)</f>
        <v>7.0718512980044155</v>
      </c>
      <c r="M10" s="17">
        <f>IF((H10+'Non travel METs'!G10)&gt;2.5,(H10+'Non travel METs'!G10),0.1)</f>
        <v>4.4438450737470596</v>
      </c>
      <c r="N10" s="19">
        <f>'Phy activity RRs'!$E$4</f>
        <v>0.96065247560449929</v>
      </c>
      <c r="O10" s="15">
        <f>IF(('user page'!$R$36=0),$N10^(I10^0.25),IF(('user page'!$R$36=1),$N10^(I10^0.5),IF(('user page'!$R$36=2),$N10^(I10^0.375),IF(('user page'!$R$36=4),$N10^(I10),IF(('user page'!$R$36=3),$N10^(LN(1+I10)),"")))))</f>
        <v>0.98738603830564786</v>
      </c>
      <c r="P10" s="15">
        <f>IF(('user page'!$R$36=0),$N10^(J10^0.25),IF(('user page'!$R$36=1),$N10^(J10^0.5),IF(('user page'!$R$36=2),$N10^(J10^0.375),IF(('user page'!$R$36=4),$N10^(J10),IF(('user page'!$R$36=3),$N10^(LN(1+J10)),"")))))</f>
        <v>0.8777068505891259</v>
      </c>
      <c r="Q10" s="15">
        <f>IF(('user page'!$R$36=0),$N10^(K10^0.25),IF(('user page'!$R$36=1),$N10^(K10^0.5),IF(('user page'!$R$36=2),$N10^(K10^0.375),IF(('user page'!$R$36=4),$N10^(K10),IF(('user page'!$R$36=3),$N10^(LN(1+K10)),"")))))</f>
        <v>0.91605414845640376</v>
      </c>
      <c r="R10" s="15">
        <f>IF(('user page'!$R$36=0),$N10^(L10^0.25),IF(('user page'!$R$36=1),$N10^(L10^0.5),IF(('user page'!$R$36=2),$N10^(L10^0.375),IF(('user page'!$R$36=4),$N10^(L10),IF(('user page'!$R$36=3),$N10^(LN(1+L10)),"")))))</f>
        <v>0.89874949805504012</v>
      </c>
      <c r="S10" s="15">
        <f>IF(('user page'!$R$36=0),$N10^(M10^0.25),IF(('user page'!$R$36=1),$N10^(M10^0.5),IF(('user page'!$R$36=2),$N10^(M10^0.375),IF(('user page'!$R$36=4),$N10^(M10),IF(('user page'!$R$36=3),$N10^(LN(1+M10)),"")))))</f>
        <v>0.91885932025160277</v>
      </c>
      <c r="T10" s="18">
        <f t="shared" si="0"/>
        <v>1</v>
      </c>
      <c r="U10" s="18">
        <f t="shared" si="0"/>
        <v>0.88891964899085352</v>
      </c>
      <c r="V10" s="18">
        <f t="shared" si="0"/>
        <v>0.92775683766842654</v>
      </c>
      <c r="W10" s="18">
        <f t="shared" si="0"/>
        <v>0.9102311185170211</v>
      </c>
      <c r="X10" s="18">
        <f t="shared" si="0"/>
        <v>0.93059784583177141</v>
      </c>
      <c r="Y10" s="30">
        <f t="shared" si="6"/>
        <v>-9.7725348801480649E-4</v>
      </c>
      <c r="Z10" s="269">
        <f t="shared" si="1"/>
        <v>1.0009772534880148</v>
      </c>
      <c r="AA10" s="17">
        <f>Z10*GBDNZ!$E27/($T10+$W10+$X10+U10+V10)</f>
        <v>54.691915098598137</v>
      </c>
      <c r="AB10" s="16">
        <f t="shared" si="2"/>
        <v>48.616717972083421</v>
      </c>
      <c r="AC10" s="16">
        <f t="shared" si="2"/>
        <v>50.740798197905477</v>
      </c>
      <c r="AD10" s="16">
        <f t="shared" si="2"/>
        <v>49.782283054034934</v>
      </c>
      <c r="AE10" s="16">
        <f t="shared" si="2"/>
        <v>50.896178375169562</v>
      </c>
      <c r="AF10" s="17">
        <f>Z10*GBDNZ!$F27/($T10+$W10+$X10+U10+V10)</f>
        <v>357.12747245983843</v>
      </c>
      <c r="AG10" s="16">
        <f t="shared" si="3"/>
        <v>317.45762746399026</v>
      </c>
      <c r="AH10" s="16">
        <f t="shared" si="3"/>
        <v>331.32745449385777</v>
      </c>
      <c r="AI10" s="16">
        <f t="shared" si="3"/>
        <v>325.06853871027539</v>
      </c>
      <c r="AJ10" s="16">
        <f t="shared" si="3"/>
        <v>332.34205655847092</v>
      </c>
      <c r="AK10" s="17">
        <f>Z10*GBDNZ!$G27/($T10+$W10+$X10+U10+V10)</f>
        <v>39.703920806528913</v>
      </c>
      <c r="AL10" s="16">
        <f t="shared" si="4"/>
        <v>35.293595346900325</v>
      </c>
      <c r="AM10" s="16">
        <f t="shared" si="4"/>
        <v>36.835584010502906</v>
      </c>
      <c r="AN10" s="16">
        <f t="shared" si="4"/>
        <v>36.139744245238042</v>
      </c>
      <c r="AO10" s="16">
        <f t="shared" si="4"/>
        <v>36.948383173631058</v>
      </c>
      <c r="AP10" s="17">
        <f t="shared" si="7"/>
        <v>0.24869068779154446</v>
      </c>
      <c r="AQ10" s="17">
        <f t="shared" si="8"/>
        <v>1.6239013864329763</v>
      </c>
      <c r="AR10" s="17">
        <f t="shared" si="9"/>
        <v>0.1805384828012393</v>
      </c>
      <c r="AS10" s="17">
        <f t="shared" si="5"/>
        <v>1.8044398692342156</v>
      </c>
    </row>
    <row r="11" spans="1:50" s="13" customFormat="1" ht="13" x14ac:dyDescent="0.3">
      <c r="A11" s="20">
        <v>1</v>
      </c>
      <c r="B11" s="20">
        <v>2</v>
      </c>
      <c r="C11" s="20" t="s">
        <v>2</v>
      </c>
      <c r="D11" s="17"/>
      <c r="E11" s="17"/>
      <c r="F11" s="17"/>
      <c r="G11" s="17"/>
      <c r="H11" s="17"/>
      <c r="I11" s="17"/>
      <c r="J11" s="17"/>
      <c r="K11" s="17"/>
      <c r="L11" s="17"/>
      <c r="M11" s="17"/>
      <c r="N11" s="19"/>
      <c r="O11" s="15"/>
      <c r="P11" s="15"/>
      <c r="Q11" s="15"/>
      <c r="R11" s="15"/>
      <c r="S11" s="15"/>
      <c r="T11" s="18"/>
      <c r="U11" s="18"/>
      <c r="V11" s="18"/>
      <c r="W11" s="18"/>
      <c r="X11" s="18"/>
      <c r="Y11" s="30"/>
      <c r="Z11" s="269"/>
      <c r="AA11" s="17"/>
      <c r="AB11" s="16"/>
      <c r="AC11" s="16"/>
      <c r="AD11" s="16"/>
      <c r="AE11" s="16"/>
      <c r="AF11" s="17"/>
      <c r="AG11" s="16"/>
      <c r="AH11" s="16"/>
      <c r="AI11" s="16"/>
      <c r="AJ11" s="16"/>
      <c r="AK11" s="17"/>
      <c r="AL11" s="16"/>
      <c r="AM11" s="16"/>
      <c r="AN11" s="16"/>
      <c r="AO11" s="16"/>
      <c r="AP11" s="17"/>
      <c r="AQ11" s="17"/>
      <c r="AR11" s="17"/>
      <c r="AS11" s="17"/>
    </row>
    <row r="12" spans="1:50" s="13" customFormat="1" ht="13" x14ac:dyDescent="0.3">
      <c r="A12" s="20">
        <v>1</v>
      </c>
      <c r="B12" s="20">
        <v>2</v>
      </c>
      <c r="C12" s="20" t="s">
        <v>40</v>
      </c>
      <c r="D12" s="17"/>
      <c r="E12" s="17"/>
      <c r="F12" s="17"/>
      <c r="G12" s="17"/>
      <c r="H12" s="17"/>
      <c r="I12" s="17"/>
      <c r="J12" s="17"/>
      <c r="K12" s="17"/>
      <c r="L12" s="17"/>
      <c r="M12" s="17"/>
      <c r="N12" s="19"/>
      <c r="O12" s="15"/>
      <c r="P12" s="15"/>
      <c r="Q12" s="15"/>
      <c r="R12" s="15"/>
      <c r="S12" s="15"/>
      <c r="T12" s="18"/>
      <c r="U12" s="18"/>
      <c r="V12" s="18"/>
      <c r="W12" s="18"/>
      <c r="X12" s="18"/>
      <c r="Y12" s="30"/>
      <c r="Z12" s="269"/>
      <c r="AA12" s="17"/>
      <c r="AB12" s="16"/>
      <c r="AC12" s="16"/>
      <c r="AD12" s="16"/>
      <c r="AE12" s="16"/>
      <c r="AF12" s="17"/>
      <c r="AG12" s="16"/>
      <c r="AH12" s="16"/>
      <c r="AI12" s="16"/>
      <c r="AJ12" s="16"/>
      <c r="AK12" s="17"/>
      <c r="AL12" s="16"/>
      <c r="AM12" s="16"/>
      <c r="AN12" s="16"/>
      <c r="AO12" s="16"/>
      <c r="AP12" s="17"/>
      <c r="AQ12" s="17"/>
      <c r="AR12" s="17"/>
      <c r="AS12" s="17"/>
    </row>
    <row r="13" spans="1:50" s="13" customFormat="1" ht="13" x14ac:dyDescent="0.3">
      <c r="A13" s="20">
        <v>1</v>
      </c>
      <c r="B13" s="20">
        <v>2</v>
      </c>
      <c r="C13" s="20" t="s">
        <v>39</v>
      </c>
      <c r="D13" s="17">
        <f>Scenario!AN29</f>
        <v>0.36317941114117153</v>
      </c>
      <c r="E13" s="17">
        <f>Scenario!AO29</f>
        <v>0.86605713906863857</v>
      </c>
      <c r="F13" s="17">
        <f>Scenario!AP29</f>
        <v>1.5810666461632132</v>
      </c>
      <c r="G13" s="17">
        <f>Scenario!AQ29</f>
        <v>2.8863820028064824</v>
      </c>
      <c r="H13" s="17">
        <f>Scenario!AR29</f>
        <v>6.8830216221648746</v>
      </c>
      <c r="I13" s="17">
        <f>IF((D13+'Non travel METs'!C13)&gt;2.5,(D13+'Non travel METs'!C13),0.1)</f>
        <v>9.2298460778078422</v>
      </c>
      <c r="J13" s="17">
        <f>IF((E13+'Non travel METs'!D13)&gt;2.5,(E13+'Non travel METs'!D13),0.1)</f>
        <v>25.466057139068639</v>
      </c>
      <c r="K13" s="17">
        <f>IF((F13+'Non travel METs'!E13)&gt;2.5,(F13+'Non travel METs'!E13),0.1)</f>
        <v>31.431066646163213</v>
      </c>
      <c r="L13" s="17">
        <f>IF((G13+'Non travel METs'!F13)&gt;2.5,(G13+'Non travel METs'!F13),0.1)</f>
        <v>33.286382002806484</v>
      </c>
      <c r="M13" s="17">
        <f>IF((H13+'Non travel METs'!G13)&gt;2.5,(H13+'Non travel METs'!G13),0.1)</f>
        <v>47.883021622164875</v>
      </c>
      <c r="N13" s="19">
        <f>'Phy activity RRs'!$F$4</f>
        <v>0.97288384048792509</v>
      </c>
      <c r="O13" s="15">
        <f>IF(('user page'!$R$36=0),$N13^(I13^0.25),IF(('user page'!$R$36=1),$N13^(I13^0.5),IF(('user page'!$R$36=2),$N13^(I13^0.375),IF(('user page'!$R$36=4),$N13^(I13),IF(('user page'!$R$36=3),$N13^(LN(1+I13)),"")))))</f>
        <v>0.91987432477478015</v>
      </c>
      <c r="P13" s="15">
        <f>IF(('user page'!$R$36=0),$N13^(J13^0.25),IF(('user page'!$R$36=1),$N13^(J13^0.5),IF(('user page'!$R$36=2),$N13^(J13^0.375),IF(('user page'!$R$36=4),$N13^(J13),IF(('user page'!$R$36=3),$N13^(LN(1+J13)),"")))))</f>
        <v>0.8704645571685693</v>
      </c>
      <c r="Q13" s="15">
        <f>IF(('user page'!$R$36=0),$N13^(K13^0.25),IF(('user page'!$R$36=1),$N13^(K13^0.5),IF(('user page'!$R$36=2),$N13^(K13^0.375),IF(('user page'!$R$36=4),$N13^(K13),IF(('user page'!$R$36=3),$N13^(LN(1+K13)),"")))))</f>
        <v>0.8571677646609287</v>
      </c>
      <c r="R13" s="15">
        <f>IF(('user page'!$R$36=0),$N13^(L13^0.25),IF(('user page'!$R$36=1),$N13^(L13^0.5),IF(('user page'!$R$36=2),$N13^(L13^0.375),IF(('user page'!$R$36=4),$N13^(L13),IF(('user page'!$R$36=3),$N13^(LN(1+L13)),"")))))</f>
        <v>0.85333322447825377</v>
      </c>
      <c r="S13" s="15">
        <f>IF(('user page'!$R$36=0),$N13^(M13^0.25),IF(('user page'!$R$36=1),$N13^(M13^0.5),IF(('user page'!$R$36=2),$N13^(M13^0.375),IF(('user page'!$R$36=4),$N13^(M13),IF(('user page'!$R$36=3),$N13^(LN(1+M13)),"")))))</f>
        <v>0.82677048488405269</v>
      </c>
      <c r="T13" s="18">
        <f t="shared" ref="T13:X18" si="10">O13/$O13</f>
        <v>1</v>
      </c>
      <c r="U13" s="18">
        <f t="shared" si="10"/>
        <v>0.94628639339584975</v>
      </c>
      <c r="V13" s="18">
        <f t="shared" si="10"/>
        <v>0.93183138345642558</v>
      </c>
      <c r="W13" s="18">
        <f t="shared" si="10"/>
        <v>0.92766283555873985</v>
      </c>
      <c r="X13" s="18">
        <f t="shared" si="10"/>
        <v>0.89878634789211798</v>
      </c>
      <c r="Y13" s="30">
        <f t="shared" si="6"/>
        <v>-3.5502479749505156E-4</v>
      </c>
      <c r="Z13" s="269">
        <f t="shared" ref="Z13:Z18" si="11">SUM(O13:S13)/SUM(O30:S30)</f>
        <v>1.0003550247974951</v>
      </c>
      <c r="AA13" s="17">
        <f>Z13*GBDNZ!$E30/($T13+$W13+$X13+U13+V13)</f>
        <v>0.26964978706180348</v>
      </c>
      <c r="AB13" s="16">
        <f t="shared" ref="AB13:AE18" si="12">$AA13*U13</f>
        <v>0.25516592447867287</v>
      </c>
      <c r="AC13" s="16">
        <f t="shared" si="12"/>
        <v>0.25126813412653093</v>
      </c>
      <c r="AD13" s="16">
        <f t="shared" si="12"/>
        <v>0.25014408607356303</v>
      </c>
      <c r="AE13" s="16">
        <f t="shared" si="12"/>
        <v>0.24235754732316564</v>
      </c>
      <c r="AF13" s="17">
        <f>Z13*GBDNZ!$F30/($T13+$W13+$X13+U13+V13)</f>
        <v>16.617786162345091</v>
      </c>
      <c r="AG13" s="16">
        <f t="shared" ref="AG13:AJ18" si="13">$AF13*U13</f>
        <v>15.725184933788995</v>
      </c>
      <c r="AH13" s="16">
        <f t="shared" si="13"/>
        <v>15.484974669641071</v>
      </c>
      <c r="AI13" s="16">
        <f t="shared" si="13"/>
        <v>15.415702632069836</v>
      </c>
      <c r="AJ13" s="16">
        <f t="shared" si="13"/>
        <v>14.935839334906319</v>
      </c>
      <c r="AK13" s="17">
        <f>Z13*GBDNZ!$G30/($T13+$W13+$X13+U13+V13)</f>
        <v>0.46556414811633967</v>
      </c>
      <c r="AL13" s="16">
        <f t="shared" ref="AL13:AO18" si="14">$AK13*U13</f>
        <v>0.44055701861542224</v>
      </c>
      <c r="AM13" s="16">
        <f t="shared" si="14"/>
        <v>0.43382728422696104</v>
      </c>
      <c r="AN13" s="16">
        <f t="shared" si="14"/>
        <v>0.43188655777609281</v>
      </c>
      <c r="AO13" s="16">
        <f t="shared" si="14"/>
        <v>0.41844270039498999</v>
      </c>
      <c r="AP13" s="17">
        <f t="shared" si="7"/>
        <v>4.502194637362178E-4</v>
      </c>
      <c r="AQ13" s="17">
        <f t="shared" si="8"/>
        <v>2.7745806351312297E-2</v>
      </c>
      <c r="AR13" s="17">
        <f t="shared" si="9"/>
        <v>7.7732692980631013E-4</v>
      </c>
      <c r="AS13" s="17">
        <f t="shared" ref="AS13:AS18" si="15">AQ13+AR13</f>
        <v>2.8523133281118607E-2</v>
      </c>
    </row>
    <row r="14" spans="1:50" s="13" customFormat="1" ht="13" x14ac:dyDescent="0.3">
      <c r="A14" s="20">
        <v>1</v>
      </c>
      <c r="B14" s="20">
        <v>2</v>
      </c>
      <c r="C14" s="20" t="s">
        <v>38</v>
      </c>
      <c r="D14" s="17">
        <f>Scenario!AN30</f>
        <v>0.30288827772466836</v>
      </c>
      <c r="E14" s="17">
        <f>Scenario!AO30</f>
        <v>0.72228366261017962</v>
      </c>
      <c r="F14" s="17">
        <f>Scenario!AP30</f>
        <v>1.3185949939165058</v>
      </c>
      <c r="G14" s="17">
        <f>Scenario!AQ30</f>
        <v>2.4072159568145346</v>
      </c>
      <c r="H14" s="17">
        <f>Scenario!AR30</f>
        <v>5.7403765211480957</v>
      </c>
      <c r="I14" s="17">
        <f>IF((D14+'Non travel METs'!C14)&gt;2.5,(D14+'Non travel METs'!C14),0.1)</f>
        <v>41.302888277724669</v>
      </c>
      <c r="J14" s="17">
        <f>IF((E14+'Non travel METs'!D14)&gt;2.5,(E14+'Non travel METs'!D14),0.1)</f>
        <v>36.597283662610181</v>
      </c>
      <c r="K14" s="17">
        <f>IF((F14+'Non travel METs'!E14)&gt;2.5,(F14+'Non travel METs'!E14),0.1)</f>
        <v>40.168594993916507</v>
      </c>
      <c r="L14" s="17">
        <f>IF((G14+'Non travel METs'!F14)&gt;2.5,(G14+'Non travel METs'!F14),0.1)</f>
        <v>43.407215956814532</v>
      </c>
      <c r="M14" s="17">
        <f>IF((H14+'Non travel METs'!G14)&gt;2.5,(H14+'Non travel METs'!G14),0.1)</f>
        <v>48.007043187814794</v>
      </c>
      <c r="N14" s="19">
        <f>'Phy activity RRs'!$F$4</f>
        <v>0.97288384048792509</v>
      </c>
      <c r="O14" s="15">
        <f>IF(('user page'!$R$36=0),$N14^(I14^0.25),IF(('user page'!$R$36=1),$N14^(I14^0.5),IF(('user page'!$R$36=2),$N14^(I14^0.375),IF(('user page'!$R$36=4),$N14^(I14),IF(('user page'!$R$36=3),$N14^(LN(1+I14)),"")))))</f>
        <v>0.83805240686787985</v>
      </c>
      <c r="P14" s="15">
        <f>IF(('user page'!$R$36=0),$N14^(J14^0.25),IF(('user page'!$R$36=1),$N14^(J14^0.5),IF(('user page'!$R$36=2),$N14^(J14^0.375),IF(('user page'!$R$36=4),$N14^(J14),IF(('user page'!$R$36=3),$N14^(LN(1+J14)),"")))))</f>
        <v>0.84678690978267535</v>
      </c>
      <c r="Q14" s="15">
        <f>IF(('user page'!$R$36=0),$N14^(K14^0.25),IF(('user page'!$R$36=1),$N14^(K14^0.5),IF(('user page'!$R$36=2),$N14^(K14^0.375),IF(('user page'!$R$36=4),$N14^(K14),IF(('user page'!$R$36=3),$N14^(LN(1+K14)),"")))))</f>
        <v>0.84010217074275062</v>
      </c>
      <c r="R14" s="15">
        <f>IF(('user page'!$R$36=0),$N14^(L14^0.25),IF(('user page'!$R$36=1),$N14^(L14^0.5),IF(('user page'!$R$36=2),$N14^(L14^0.375),IF(('user page'!$R$36=4),$N14^(L14),IF(('user page'!$R$36=3),$N14^(LN(1+L14)),"")))))</f>
        <v>0.83433573134417249</v>
      </c>
      <c r="S14" s="15">
        <f>IF(('user page'!$R$36=0),$N14^(M14^0.25),IF(('user page'!$R$36=1),$N14^(M14^0.5),IF(('user page'!$R$36=2),$N14^(M14^0.375),IF(('user page'!$R$36=4),$N14^(M14),IF(('user page'!$R$36=3),$N14^(LN(1+M14)),"")))))</f>
        <v>0.826566963048466</v>
      </c>
      <c r="T14" s="18">
        <f t="shared" si="10"/>
        <v>1</v>
      </c>
      <c r="U14" s="18">
        <f t="shared" si="10"/>
        <v>1.0104223827092624</v>
      </c>
      <c r="V14" s="18">
        <f t="shared" si="10"/>
        <v>1.0024458659841233</v>
      </c>
      <c r="W14" s="18">
        <f t="shared" si="10"/>
        <v>0.99556510369369622</v>
      </c>
      <c r="X14" s="18">
        <f t="shared" si="10"/>
        <v>0.98629507686477591</v>
      </c>
      <c r="Y14" s="30">
        <f t="shared" si="6"/>
        <v>-2.5396653954667947E-4</v>
      </c>
      <c r="Z14" s="269">
        <f t="shared" si="11"/>
        <v>1.0002539665395467</v>
      </c>
      <c r="AA14" s="17">
        <f>Z14*GBDNZ!$E31/($T14+$W14+$X14+U14+V14)</f>
        <v>2.6885203061793717</v>
      </c>
      <c r="AB14" s="16">
        <f t="shared" si="12"/>
        <v>2.7165410937319967</v>
      </c>
      <c r="AC14" s="16">
        <f t="shared" si="12"/>
        <v>2.6950960665438806</v>
      </c>
      <c r="AD14" s="16">
        <f t="shared" si="12"/>
        <v>2.676596997404074</v>
      </c>
      <c r="AE14" s="16">
        <f t="shared" si="12"/>
        <v>2.6516743420356943</v>
      </c>
      <c r="AF14" s="17">
        <f>Z14*GBDNZ!$F31/($T14+$W14+$X14+U14+V14)</f>
        <v>127.16400333139377</v>
      </c>
      <c r="AG14" s="16">
        <f t="shared" si="13"/>
        <v>128.48935524095549</v>
      </c>
      <c r="AH14" s="16">
        <f t="shared" si="13"/>
        <v>127.47502944154698</v>
      </c>
      <c r="AI14" s="16">
        <f t="shared" si="13"/>
        <v>126.60004416272457</v>
      </c>
      <c r="AJ14" s="16">
        <f t="shared" si="13"/>
        <v>125.42123044016964</v>
      </c>
      <c r="AK14" s="17">
        <f>Z14*GBDNZ!$G31/($T14+$W14+$X14+U14+V14)</f>
        <v>4.5017482481516486</v>
      </c>
      <c r="AL14" s="16">
        <f t="shared" si="14"/>
        <v>4.548667191254637</v>
      </c>
      <c r="AM14" s="16">
        <f t="shared" si="14"/>
        <v>4.5127589210608896</v>
      </c>
      <c r="AN14" s="16">
        <f t="shared" si="14"/>
        <v>4.4817834614740111</v>
      </c>
      <c r="AO14" s="16">
        <f t="shared" si="14"/>
        <v>4.4400521344366002</v>
      </c>
      <c r="AP14" s="17">
        <f t="shared" si="7"/>
        <v>3.4095056950183E-3</v>
      </c>
      <c r="AQ14" s="17">
        <f t="shared" si="8"/>
        <v>0.16126580579049232</v>
      </c>
      <c r="AR14" s="17">
        <f t="shared" si="9"/>
        <v>5.7089902777871515E-3</v>
      </c>
      <c r="AS14" s="17">
        <f t="shared" si="15"/>
        <v>0.16697479606827947</v>
      </c>
    </row>
    <row r="15" spans="1:50" s="13" customFormat="1" ht="13" x14ac:dyDescent="0.3">
      <c r="A15" s="20">
        <v>1</v>
      </c>
      <c r="B15" s="20">
        <v>2</v>
      </c>
      <c r="C15" s="20" t="s">
        <v>37</v>
      </c>
      <c r="D15" s="17">
        <f>Scenario!AN31</f>
        <v>0.44144644170812064</v>
      </c>
      <c r="E15" s="17">
        <f>Scenario!AO31</f>
        <v>1.0526969057977646</v>
      </c>
      <c r="F15" s="17">
        <f>Scenario!AP31</f>
        <v>1.9217946382451725</v>
      </c>
      <c r="G15" s="17">
        <f>Scenario!AQ31</f>
        <v>3.5084121661676253</v>
      </c>
      <c r="H15" s="17">
        <f>Scenario!AR31</f>
        <v>8.3663481741911028</v>
      </c>
      <c r="I15" s="17">
        <f>IF((D15+'Non travel METs'!C15)&gt;2.5,(D15+'Non travel METs'!C15),0.1)</f>
        <v>42.091446441708122</v>
      </c>
      <c r="J15" s="17">
        <f>IF((E15+'Non travel METs'!D15)&gt;2.5,(E15+'Non travel METs'!D15),0.1)</f>
        <v>44.102696905797764</v>
      </c>
      <c r="K15" s="17">
        <f>IF((F15+'Non travel METs'!E15)&gt;2.5,(F15+'Non travel METs'!E15),0.1)</f>
        <v>47.988461304911873</v>
      </c>
      <c r="L15" s="17">
        <f>IF((G15+'Non travel METs'!F15)&gt;2.5,(G15+'Non travel METs'!F15),0.1)</f>
        <v>44.508412166167624</v>
      </c>
      <c r="M15" s="17">
        <f>IF((H15+'Non travel METs'!G15)&gt;2.5,(H15+'Non travel METs'!G15),0.1)</f>
        <v>49.366348174191103</v>
      </c>
      <c r="N15" s="19">
        <f>'Phy activity RRs'!$F$4</f>
        <v>0.97288384048792509</v>
      </c>
      <c r="O15" s="15">
        <f>IF(('user page'!$R$36=0),$N15^(I15^0.25),IF(('user page'!$R$36=1),$N15^(I15^0.5),IF(('user page'!$R$36=2),$N15^(I15^0.375),IF(('user page'!$R$36=4),$N15^(I15),IF(('user page'!$R$36=3),$N15^(LN(1+I15)),"")))))</f>
        <v>0.83664685765578128</v>
      </c>
      <c r="P15" s="15">
        <f>IF(('user page'!$R$36=0),$N15^(J15^0.25),IF(('user page'!$R$36=1),$N15^(J15^0.5),IF(('user page'!$R$36=2),$N15^(J15^0.375),IF(('user page'!$R$36=4),$N15^(J15),IF(('user page'!$R$36=3),$N15^(LN(1+J15)),"")))))</f>
        <v>0.83313081717327031</v>
      </c>
      <c r="Q15" s="15">
        <f>IF(('user page'!$R$36=0),$N15^(K15^0.25),IF(('user page'!$R$36=1),$N15^(K15^0.5),IF(('user page'!$R$36=2),$N15^(K15^0.375),IF(('user page'!$R$36=4),$N15^(K15),IF(('user page'!$R$36=3),$N15^(LN(1+K15)),"")))))</f>
        <v>0.82659743633770122</v>
      </c>
      <c r="R15" s="15">
        <f>IF(('user page'!$R$36=0),$N15^(L15^0.25),IF(('user page'!$R$36=1),$N15^(L15^0.5),IF(('user page'!$R$36=2),$N15^(L15^0.375),IF(('user page'!$R$36=4),$N15^(L15),IF(('user page'!$R$36=3),$N15^(LN(1+L15)),"")))))</f>
        <v>0.83243310116079861</v>
      </c>
      <c r="S15" s="15">
        <f>IF(('user page'!$R$36=0),$N15^(M15^0.25),IF(('user page'!$R$36=1),$N15^(M15^0.5),IF(('user page'!$R$36=2),$N15^(M15^0.375),IF(('user page'!$R$36=4),$N15^(M15),IF(('user page'!$R$36=3),$N15^(LN(1+M15)),"")))))</f>
        <v>0.82435655195239221</v>
      </c>
      <c r="T15" s="18">
        <f t="shared" si="10"/>
        <v>1</v>
      </c>
      <c r="U15" s="18">
        <f t="shared" si="10"/>
        <v>0.99579746167652783</v>
      </c>
      <c r="V15" s="18">
        <f t="shared" si="10"/>
        <v>0.9879884550738196</v>
      </c>
      <c r="W15" s="18">
        <f t="shared" si="10"/>
        <v>0.99496351841111397</v>
      </c>
      <c r="X15" s="18">
        <f t="shared" si="10"/>
        <v>0.98531004378857578</v>
      </c>
      <c r="Y15" s="30">
        <f t="shared" si="6"/>
        <v>-2.7206798967505108E-4</v>
      </c>
      <c r="Z15" s="269">
        <f t="shared" si="11"/>
        <v>1.0002720679896751</v>
      </c>
      <c r="AA15" s="17">
        <f>Z15*GBDNZ!$E32/($T15+$W15+$X15+U15+V15)</f>
        <v>15.790107324034469</v>
      </c>
      <c r="AB15" s="16">
        <f t="shared" si="12"/>
        <v>15.723748792873476</v>
      </c>
      <c r="AC15" s="16">
        <f t="shared" si="12"/>
        <v>15.60044374052262</v>
      </c>
      <c r="AD15" s="16">
        <f t="shared" si="12"/>
        <v>15.710580739210435</v>
      </c>
      <c r="AE15" s="16">
        <f t="shared" si="12"/>
        <v>15.558151338870715</v>
      </c>
      <c r="AF15" s="17">
        <f>Z15*GBDNZ!$F32/($T15+$W15+$X15+U15+V15)</f>
        <v>535.37324916624084</v>
      </c>
      <c r="AG15" s="16">
        <f t="shared" si="13"/>
        <v>533.12332256925788</v>
      </c>
      <c r="AH15" s="16">
        <f t="shared" si="13"/>
        <v>528.9425893316054</v>
      </c>
      <c r="AI15" s="16">
        <f t="shared" si="13"/>
        <v>532.67685165363298</v>
      </c>
      <c r="AJ15" s="16">
        <f t="shared" si="13"/>
        <v>527.50863957922081</v>
      </c>
      <c r="AK15" s="17">
        <f>Z15*GBDNZ!$G32/($T15+$W15+$X15+U15+V15)</f>
        <v>23.51726727775338</v>
      </c>
      <c r="AL15" s="16">
        <f t="shared" si="14"/>
        <v>23.418435060755282</v>
      </c>
      <c r="AM15" s="16">
        <f t="shared" si="14"/>
        <v>23.234788565305653</v>
      </c>
      <c r="AN15" s="16">
        <f t="shared" si="14"/>
        <v>23.398822994088064</v>
      </c>
      <c r="AO15" s="16">
        <f t="shared" si="14"/>
        <v>23.171799651230824</v>
      </c>
      <c r="AP15" s="17">
        <f t="shared" si="7"/>
        <v>2.1319713511738669E-2</v>
      </c>
      <c r="AQ15" s="17">
        <f t="shared" si="8"/>
        <v>0.72285792995774045</v>
      </c>
      <c r="AR15" s="17">
        <f t="shared" si="9"/>
        <v>3.1752881133190414E-2</v>
      </c>
      <c r="AS15" s="17">
        <f t="shared" si="15"/>
        <v>0.75461081109093087</v>
      </c>
    </row>
    <row r="16" spans="1:50" s="13" customFormat="1" ht="13" x14ac:dyDescent="0.3">
      <c r="A16" s="20">
        <v>1</v>
      </c>
      <c r="B16" s="20">
        <v>2</v>
      </c>
      <c r="C16" s="20" t="s">
        <v>36</v>
      </c>
      <c r="D16" s="17">
        <f>Scenario!AN32</f>
        <v>0.3316861829647314</v>
      </c>
      <c r="E16" s="17">
        <f>Scenario!AO32</f>
        <v>0.79095669488646103</v>
      </c>
      <c r="F16" s="17">
        <f>Scenario!AP32</f>
        <v>1.4439639054177522</v>
      </c>
      <c r="G16" s="17">
        <f>Scenario!AQ32</f>
        <v>2.6360883897045526</v>
      </c>
      <c r="H16" s="17">
        <f>Scenario!AR32</f>
        <v>6.2861580229616978</v>
      </c>
      <c r="I16" s="17">
        <f>IF((D16+'Non travel METs'!C16)&gt;2.5,(D16+'Non travel METs'!C16),0.1)</f>
        <v>33.131686182964728</v>
      </c>
      <c r="J16" s="17">
        <f>IF((E16+'Non travel METs'!D16)&gt;2.5,(E16+'Non travel METs'!D16),0.1)</f>
        <v>18.790956694886461</v>
      </c>
      <c r="K16" s="17">
        <f>IF((F16+'Non travel METs'!E16)&gt;2.5,(F16+'Non travel METs'!E16),0.1)</f>
        <v>33.193963905417753</v>
      </c>
      <c r="L16" s="17">
        <f>IF((G16+'Non travel METs'!F16)&gt;2.5,(G16+'Non travel METs'!F16),0.1)</f>
        <v>23.136088389704554</v>
      </c>
      <c r="M16" s="17">
        <f>IF((H16+'Non travel METs'!G16)&gt;2.5,(H16+'Non travel METs'!G16),0.1)</f>
        <v>10.786158022961697</v>
      </c>
      <c r="N16" s="19">
        <f>'Phy activity RRs'!$F$4</f>
        <v>0.97288384048792509</v>
      </c>
      <c r="O16" s="15">
        <f>IF(('user page'!$R$36=0),$N16^(I16^0.25),IF(('user page'!$R$36=1),$N16^(I16^0.5),IF(('user page'!$R$36=2),$N16^(I16^0.375),IF(('user page'!$R$36=4),$N16^(I16),IF(('user page'!$R$36=3),$N16^(LN(1+I16)),"")))))</f>
        <v>0.85364814687352353</v>
      </c>
      <c r="P16" s="15">
        <f>IF(('user page'!$R$36=0),$N16^(J16^0.25),IF(('user page'!$R$36=1),$N16^(J16^0.5),IF(('user page'!$R$36=2),$N16^(J16^0.375),IF(('user page'!$R$36=4),$N16^(J16),IF(('user page'!$R$36=3),$N16^(LN(1+J16)),"")))))</f>
        <v>0.8876589526582066</v>
      </c>
      <c r="Q16" s="15">
        <f>IF(('user page'!$R$36=0),$N16^(K16^0.25),IF(('user page'!$R$36=1),$N16^(K16^0.5),IF(('user page'!$R$36=2),$N16^(K16^0.375),IF(('user page'!$R$36=4),$N16^(K16),IF(('user page'!$R$36=3),$N16^(LN(1+K16)),"")))))</f>
        <v>0.85352126264385031</v>
      </c>
      <c r="R16" s="15">
        <f>IF(('user page'!$R$36=0),$N16^(L16^0.25),IF(('user page'!$R$36=1),$N16^(L16^0.5),IF(('user page'!$R$36=2),$N16^(L16^0.375),IF(('user page'!$R$36=4),$N16^(L16),IF(('user page'!$R$36=3),$N16^(LN(1+L16)),"")))))</f>
        <v>0.87613973213709118</v>
      </c>
      <c r="S16" s="15">
        <f>IF(('user page'!$R$36=0),$N16^(M16^0.25),IF(('user page'!$R$36=1),$N16^(M16^0.5),IF(('user page'!$R$36=2),$N16^(M16^0.375),IF(('user page'!$R$36=4),$N16^(M16),IF(('user page'!$R$36=3),$N16^(LN(1+M16)),"")))))</f>
        <v>0.91367041073378819</v>
      </c>
      <c r="T16" s="18">
        <f t="shared" si="10"/>
        <v>1</v>
      </c>
      <c r="U16" s="18">
        <f t="shared" si="10"/>
        <v>1.0398417145392365</v>
      </c>
      <c r="V16" s="18">
        <f t="shared" si="10"/>
        <v>0.99985136237905758</v>
      </c>
      <c r="W16" s="18">
        <f t="shared" si="10"/>
        <v>1.026347606266051</v>
      </c>
      <c r="X16" s="18">
        <f t="shared" si="10"/>
        <v>1.0703126505693188</v>
      </c>
      <c r="Y16" s="30">
        <f t="shared" si="6"/>
        <v>-5.7604330517735391E-4</v>
      </c>
      <c r="Z16" s="269">
        <f t="shared" si="11"/>
        <v>1.0005760433051774</v>
      </c>
      <c r="AA16" s="17">
        <f>Z16*GBDNZ!$E33/($T16+$W16+$X16+U16+V16)</f>
        <v>28.915907156869089</v>
      </c>
      <c r="AB16" s="16">
        <f t="shared" si="12"/>
        <v>30.067966475456132</v>
      </c>
      <c r="AC16" s="16">
        <f t="shared" si="12"/>
        <v>28.9116091652219</v>
      </c>
      <c r="AD16" s="16">
        <f t="shared" si="12"/>
        <v>29.677772093463965</v>
      </c>
      <c r="AE16" s="16">
        <f t="shared" si="12"/>
        <v>30.94906123268489</v>
      </c>
      <c r="AF16" s="17">
        <f>Z16*GBDNZ!$F33/($T16+$W16+$X16+U16+V16)</f>
        <v>680.51964456343615</v>
      </c>
      <c r="AG16" s="16">
        <f t="shared" si="13"/>
        <v>707.63271398047527</v>
      </c>
      <c r="AH16" s="16">
        <f t="shared" si="13"/>
        <v>680.41849374246362</v>
      </c>
      <c r="AI16" s="16">
        <f t="shared" si="13"/>
        <v>698.44970821470656</v>
      </c>
      <c r="AJ16" s="16">
        <f t="shared" si="13"/>
        <v>728.36878453718202</v>
      </c>
      <c r="AK16" s="17">
        <f>Z16*GBDNZ!$G33/($T16+$W16+$X16+U16+V16)</f>
        <v>37.055003315464504</v>
      </c>
      <c r="AL16" s="16">
        <f t="shared" si="14"/>
        <v>38.531338179809701</v>
      </c>
      <c r="AM16" s="16">
        <f t="shared" si="14"/>
        <v>37.049495547927677</v>
      </c>
      <c r="AN16" s="16">
        <f t="shared" si="14"/>
        <v>38.031313953007576</v>
      </c>
      <c r="AO16" s="16">
        <f t="shared" si="14"/>
        <v>39.660438815429707</v>
      </c>
      <c r="AP16" s="17">
        <f t="shared" si="7"/>
        <v>8.5506030695967183E-2</v>
      </c>
      <c r="AQ16" s="17">
        <f t="shared" si="8"/>
        <v>2.0123364382628779</v>
      </c>
      <c r="AR16" s="17">
        <f t="shared" si="9"/>
        <v>0.1095738146391767</v>
      </c>
      <c r="AS16" s="17">
        <f t="shared" si="15"/>
        <v>2.1219102529020546</v>
      </c>
    </row>
    <row r="17" spans="1:45" s="13" customFormat="1" ht="13" x14ac:dyDescent="0.3">
      <c r="A17" s="20">
        <v>1</v>
      </c>
      <c r="B17" s="20">
        <v>2</v>
      </c>
      <c r="C17" s="20" t="s">
        <v>35</v>
      </c>
      <c r="D17" s="17">
        <f>Scenario!AN33</f>
        <v>0.28952396631326538</v>
      </c>
      <c r="E17" s="17">
        <f>Scenario!AO33</f>
        <v>0.69041440749405425</v>
      </c>
      <c r="F17" s="17">
        <f>Scenario!AP33</f>
        <v>1.2604147491853572</v>
      </c>
      <c r="G17" s="17">
        <f>Scenario!AQ33</f>
        <v>2.3010025902127014</v>
      </c>
      <c r="H17" s="17">
        <f>Scenario!AR33</f>
        <v>5.4870944198279963</v>
      </c>
      <c r="I17" s="17">
        <f>IF((D17+'Non travel METs'!C17)&gt;2.5,(D17+'Non travel METs'!C17),0.1)</f>
        <v>6.1228572996465953</v>
      </c>
      <c r="J17" s="17">
        <f>IF((E17+'Non travel METs'!D17)&gt;2.5,(E17+'Non travel METs'!D17),0.1)</f>
        <v>5.6904144074940541</v>
      </c>
      <c r="K17" s="17">
        <f>IF((F17+'Non travel METs'!E17)&gt;2.5,(F17+'Non travel METs'!E17),0.1)</f>
        <v>3.7604147491853572</v>
      </c>
      <c r="L17" s="17">
        <f>IF((G17+'Non travel METs'!F17)&gt;2.5,(G17+'Non travel METs'!F17),0.1)</f>
        <v>6.0510025902127014</v>
      </c>
      <c r="M17" s="17">
        <f>IF((H17+'Non travel METs'!G17)&gt;2.5,(H17+'Non travel METs'!G17),0.1)</f>
        <v>5.4870944198279963</v>
      </c>
      <c r="N17" s="19">
        <f>'Phy activity RRs'!$F$4</f>
        <v>0.97288384048792509</v>
      </c>
      <c r="O17" s="15">
        <f>IF(('user page'!$R$36=0),$N17^(I17^0.25),IF(('user page'!$R$36=1),$N17^(I17^0.5),IF(('user page'!$R$36=2),$N17^(I17^0.375),IF(('user page'!$R$36=4),$N17^(I17),IF(('user page'!$R$36=3),$N17^(LN(1+I17)),"")))))</f>
        <v>0.93423821072012936</v>
      </c>
      <c r="P17" s="15">
        <f>IF(('user page'!$R$36=0),$N17^(J17^0.25),IF(('user page'!$R$36=1),$N17^(J17^0.5),IF(('user page'!$R$36=2),$N17^(J17^0.375),IF(('user page'!$R$36=4),$N17^(J17),IF(('user page'!$R$36=3),$N17^(LN(1+J17)),"")))))</f>
        <v>0.93652630741446907</v>
      </c>
      <c r="Q17" s="15">
        <f>IF(('user page'!$R$36=0),$N17^(K17^0.25),IF(('user page'!$R$36=1),$N17^(K17^0.5),IF(('user page'!$R$36=2),$N17^(K17^0.375),IF(('user page'!$R$36=4),$N17^(K17),IF(('user page'!$R$36=3),$N17^(LN(1+K17)),"")))))</f>
        <v>0.94808685150459626</v>
      </c>
      <c r="R17" s="15">
        <f>IF(('user page'!$R$36=0),$N17^(L17^0.25),IF(('user page'!$R$36=1),$N17^(L17^0.5),IF(('user page'!$R$36=2),$N17^(L17^0.375),IF(('user page'!$R$36=4),$N17^(L17),IF(('user page'!$R$36=3),$N17^(LN(1+L17)),"")))))</f>
        <v>0.93461228388107553</v>
      </c>
      <c r="S17" s="15">
        <f>IF(('user page'!$R$36=0),$N17^(M17^0.25),IF(('user page'!$R$36=1),$N17^(M17^0.5),IF(('user page'!$R$36=2),$N17^(M17^0.375),IF(('user page'!$R$36=4),$N17^(M17),IF(('user page'!$R$36=3),$N17^(LN(1+M17)),"")))))</f>
        <v>0.9376341326674944</v>
      </c>
      <c r="T17" s="18">
        <f t="shared" si="10"/>
        <v>1</v>
      </c>
      <c r="U17" s="18">
        <f t="shared" si="10"/>
        <v>1.0024491576859995</v>
      </c>
      <c r="V17" s="18">
        <f t="shared" si="10"/>
        <v>1.0148234578992354</v>
      </c>
      <c r="W17" s="18">
        <f t="shared" si="10"/>
        <v>1.0004004044757042</v>
      </c>
      <c r="X17" s="18">
        <f t="shared" si="10"/>
        <v>1.0036349636617277</v>
      </c>
      <c r="Y17" s="30">
        <f t="shared" si="6"/>
        <v>-7.4432985204153645E-4</v>
      </c>
      <c r="Z17" s="269">
        <f t="shared" si="11"/>
        <v>1.0007443298520415</v>
      </c>
      <c r="AA17" s="17">
        <f>Z17*GBDNZ!$E34/($T17+$W17+$X17+U17+V17)</f>
        <v>35.962709228056205</v>
      </c>
      <c r="AB17" s="16">
        <f t="shared" si="12"/>
        <v>36.050787573771466</v>
      </c>
      <c r="AC17" s="16">
        <f t="shared" si="12"/>
        <v>36.495800934240741</v>
      </c>
      <c r="AD17" s="16">
        <f t="shared" si="12"/>
        <v>35.977108857789567</v>
      </c>
      <c r="AE17" s="16">
        <f t="shared" si="12"/>
        <v>36.093432369277465</v>
      </c>
      <c r="AF17" s="17">
        <f>Z17*GBDNZ!$F34/($T17+$W17+$X17+U17+V17)</f>
        <v>546.23144132974289</v>
      </c>
      <c r="AG17" s="16">
        <f t="shared" si="13"/>
        <v>547.56924826261024</v>
      </c>
      <c r="AH17" s="16">
        <f t="shared" si="13"/>
        <v>554.32848010353302</v>
      </c>
      <c r="AI17" s="16">
        <f t="shared" si="13"/>
        <v>546.4501548436217</v>
      </c>
      <c r="AJ17" s="16">
        <f t="shared" si="13"/>
        <v>548.21697276986959</v>
      </c>
      <c r="AK17" s="17">
        <f>Z17*GBDNZ!$G34/($T17+$W17+$X17+U17+V17)</f>
        <v>39.567021402868761</v>
      </c>
      <c r="AL17" s="16">
        <f t="shared" si="14"/>
        <v>39.663927277449702</v>
      </c>
      <c r="AM17" s="16">
        <f t="shared" si="14"/>
        <v>40.153541478832331</v>
      </c>
      <c r="AN17" s="16">
        <f t="shared" si="14"/>
        <v>39.582864215328755</v>
      </c>
      <c r="AO17" s="16">
        <f t="shared" si="14"/>
        <v>39.710846087870991</v>
      </c>
      <c r="AP17" s="17">
        <f t="shared" si="7"/>
        <v>0.13431099313543626</v>
      </c>
      <c r="AQ17" s="17">
        <f t="shared" si="8"/>
        <v>2.040026709377571</v>
      </c>
      <c r="AR17" s="17">
        <f t="shared" si="9"/>
        <v>0.14777212435053855</v>
      </c>
      <c r="AS17" s="17">
        <f t="shared" si="15"/>
        <v>2.1877988337281096</v>
      </c>
    </row>
    <row r="18" spans="1:45" s="13" customFormat="1" ht="13" x14ac:dyDescent="0.3">
      <c r="A18" s="20">
        <v>1</v>
      </c>
      <c r="B18" s="20">
        <v>2</v>
      </c>
      <c r="C18" s="20" t="s">
        <v>34</v>
      </c>
      <c r="D18" s="17">
        <f>Scenario!AN34</f>
        <v>0.16944759244251412</v>
      </c>
      <c r="E18" s="17">
        <f>Scenario!AO34</f>
        <v>0.40407383411883097</v>
      </c>
      <c r="F18" s="17">
        <f>Scenario!AP34</f>
        <v>0.73767380106076064</v>
      </c>
      <c r="G18" s="17">
        <f>Scenario!AQ34</f>
        <v>1.346691101536166</v>
      </c>
      <c r="H18" s="17">
        <f>Scenario!AR34</f>
        <v>3.211391964486249</v>
      </c>
      <c r="I18" s="17">
        <f>IF((D18+'Non travel METs'!C18)&gt;2.5,(D18+'Non travel METs'!C18),0.1)</f>
        <v>6.6694475924425145</v>
      </c>
      <c r="J18" s="17">
        <f>IF((E18+'Non travel METs'!D18)&gt;2.5,(E18+'Non travel METs'!D18),0.1)</f>
        <v>3.5290738341188308</v>
      </c>
      <c r="K18" s="17">
        <f>IF((F18+'Non travel METs'!E18)&gt;2.5,(F18+'Non travel METs'!E18),0.1)</f>
        <v>0.1</v>
      </c>
      <c r="L18" s="17">
        <f>IF((G18+'Non travel METs'!F18)&gt;2.5,(G18+'Non travel METs'!F18),0.1)</f>
        <v>0.1</v>
      </c>
      <c r="M18" s="17">
        <f>IF((H18+'Non travel METs'!G18)&gt;2.5,(H18+'Non travel METs'!G18),0.1)</f>
        <v>3.211391964486249</v>
      </c>
      <c r="N18" s="19">
        <f>'Phy activity RRs'!$F$4</f>
        <v>0.97288384048792509</v>
      </c>
      <c r="O18" s="15">
        <f>IF(('user page'!$R$36=0),$N18^(I18^0.25),IF(('user page'!$R$36=1),$N18^(I18^0.5),IF(('user page'!$R$36=2),$N18^(I18^0.375),IF(('user page'!$R$36=4),$N18^(I18),IF(('user page'!$R$36=3),$N18^(LN(1+I18)),"")))))</f>
        <v>0.93146637002406274</v>
      </c>
      <c r="P18" s="15">
        <f>IF(('user page'!$R$36=0),$N18^(J18^0.25),IF(('user page'!$R$36=1),$N18^(J18^0.5),IF(('user page'!$R$36=2),$N18^(J18^0.375),IF(('user page'!$R$36=4),$N18^(J18),IF(('user page'!$R$36=3),$N18^(LN(1+J18)),"")))))</f>
        <v>0.94966750810926637</v>
      </c>
      <c r="Q18" s="15">
        <f>IF(('user page'!$R$36=0),$N18^(K18^0.25),IF(('user page'!$R$36=1),$N18^(K18^0.5),IF(('user page'!$R$36=2),$N18^(K18^0.375),IF(('user page'!$R$36=4),$N18^(K18),IF(('user page'!$R$36=3),$N18^(LN(1+K18)),"")))))</f>
        <v>0.99134439051762713</v>
      </c>
      <c r="R18" s="15">
        <f>IF(('user page'!$R$36=0),$N18^(L18^0.25),IF(('user page'!$R$36=1),$N18^(L18^0.5),IF(('user page'!$R$36=2),$N18^(L18^0.375),IF(('user page'!$R$36=4),$N18^(L18),IF(('user page'!$R$36=3),$N18^(LN(1+L18)),"")))))</f>
        <v>0.99134439051762713</v>
      </c>
      <c r="S18" s="15">
        <f>IF(('user page'!$R$36=0),$N18^(M18^0.25),IF(('user page'!$R$36=1),$N18^(M18^0.5),IF(('user page'!$R$36=2),$N18^(M18^0.375),IF(('user page'!$R$36=4),$N18^(M18),IF(('user page'!$R$36=3),$N18^(LN(1+M18)),"")))))</f>
        <v>0.95192967947222806</v>
      </c>
      <c r="T18" s="18">
        <f t="shared" si="10"/>
        <v>1</v>
      </c>
      <c r="U18" s="18">
        <f t="shared" si="10"/>
        <v>1.0195403061999257</v>
      </c>
      <c r="V18" s="18">
        <f t="shared" si="10"/>
        <v>1.0642836096079535</v>
      </c>
      <c r="W18" s="18">
        <f t="shared" si="10"/>
        <v>1.0642836096079535</v>
      </c>
      <c r="X18" s="18">
        <f t="shared" si="10"/>
        <v>1.0219689192296193</v>
      </c>
      <c r="Y18" s="30">
        <f t="shared" si="6"/>
        <v>-3.9413573669255797E-4</v>
      </c>
      <c r="Z18" s="269">
        <f t="shared" si="11"/>
        <v>1.0003941357366926</v>
      </c>
      <c r="AA18" s="17">
        <f>Z18*GBDNZ!$E35/($T18+$W18+$X18+U18+V18)</f>
        <v>65.029829626207189</v>
      </c>
      <c r="AB18" s="16">
        <f t="shared" si="12"/>
        <v>66.300532409232275</v>
      </c>
      <c r="AC18" s="16">
        <f t="shared" si="12"/>
        <v>69.210181806770024</v>
      </c>
      <c r="AD18" s="16">
        <f t="shared" si="12"/>
        <v>69.210181806770024</v>
      </c>
      <c r="AE18" s="16">
        <f t="shared" si="12"/>
        <v>66.458464700781235</v>
      </c>
      <c r="AF18" s="17">
        <f>Z18*GBDNZ!$F35/($T18+$W18+$X18+U18+V18)</f>
        <v>371.35028398852234</v>
      </c>
      <c r="AG18" s="16">
        <f t="shared" si="13"/>
        <v>378.60658224508745</v>
      </c>
      <c r="AH18" s="16">
        <f t="shared" si="13"/>
        <v>395.22202067224316</v>
      </c>
      <c r="AI18" s="16">
        <f t="shared" si="13"/>
        <v>395.22202067224316</v>
      </c>
      <c r="AJ18" s="16">
        <f t="shared" si="13"/>
        <v>379.50844838336235</v>
      </c>
      <c r="AK18" s="17">
        <f>Z18*GBDNZ!$G35/($T18+$W18+$X18+U18+V18)</f>
        <v>42.694738447935372</v>
      </c>
      <c r="AL18" s="16">
        <f t="shared" si="14"/>
        <v>43.529006710333775</v>
      </c>
      <c r="AM18" s="16">
        <f t="shared" si="14"/>
        <v>45.439310346636134</v>
      </c>
      <c r="AN18" s="16">
        <f t="shared" si="14"/>
        <v>45.439310346636134</v>
      </c>
      <c r="AO18" s="16">
        <f t="shared" si="14"/>
        <v>43.632695708427782</v>
      </c>
      <c r="AP18" s="17">
        <f t="shared" si="7"/>
        <v>0.13245984976080649</v>
      </c>
      <c r="AQ18" s="17">
        <f t="shared" si="8"/>
        <v>0.75640676145860652</v>
      </c>
      <c r="AR18" s="17">
        <f t="shared" si="9"/>
        <v>8.6965299969193666E-2</v>
      </c>
      <c r="AS18" s="17">
        <f t="shared" si="15"/>
        <v>0.84337206142780019</v>
      </c>
    </row>
    <row r="19" spans="1:45" s="13" customFormat="1" ht="13" x14ac:dyDescent="0.3">
      <c r="A19" s="20"/>
      <c r="B19" s="20"/>
      <c r="C19" s="20"/>
      <c r="D19" s="17"/>
      <c r="E19" s="17"/>
      <c r="F19" s="17"/>
      <c r="G19" s="17"/>
      <c r="H19" s="17"/>
      <c r="I19" s="17"/>
      <c r="J19" s="17"/>
      <c r="K19" s="17"/>
      <c r="L19" s="17"/>
      <c r="M19" s="17"/>
      <c r="N19" s="15"/>
      <c r="O19" s="15"/>
      <c r="P19" s="15"/>
      <c r="Q19" s="15"/>
      <c r="R19" s="15"/>
      <c r="S19" s="15"/>
      <c r="T19" s="18"/>
      <c r="U19" s="18"/>
      <c r="V19" s="18"/>
      <c r="W19" s="18"/>
      <c r="X19" s="18"/>
      <c r="Y19" s="18"/>
      <c r="Z19" s="16"/>
      <c r="AA19" s="17"/>
      <c r="AB19" s="17"/>
      <c r="AC19" s="17"/>
      <c r="AD19" s="16"/>
      <c r="AE19" s="16"/>
      <c r="AF19" s="17"/>
      <c r="AG19" s="16"/>
      <c r="AH19" s="16"/>
      <c r="AI19" s="16"/>
      <c r="AJ19" s="16"/>
      <c r="AK19" s="17"/>
      <c r="AL19" s="16"/>
      <c r="AM19" s="16"/>
      <c r="AN19" s="16"/>
      <c r="AO19" s="16"/>
      <c r="AP19" s="21">
        <f>SUM(AP3:AP18)</f>
        <v>1.0205574567357361</v>
      </c>
      <c r="AQ19" s="21">
        <f>SUM(AQ3:AQ18)</f>
        <v>14.517921436352392</v>
      </c>
      <c r="AR19" s="21">
        <f>SUM(AR3:AR18)</f>
        <v>1.0081167624496432</v>
      </c>
      <c r="AS19" s="21">
        <f>SUM(AS3:AS18)</f>
        <v>15.526038198802036</v>
      </c>
    </row>
    <row r="20" spans="1:45" s="13" customFormat="1" ht="13" x14ac:dyDescent="0.3">
      <c r="A20" s="20">
        <v>0</v>
      </c>
      <c r="B20" s="20">
        <v>1</v>
      </c>
      <c r="C20" s="20" t="s">
        <v>2</v>
      </c>
      <c r="D20" s="17"/>
      <c r="E20" s="17"/>
      <c r="F20" s="17"/>
      <c r="G20" s="17"/>
      <c r="H20" s="17"/>
      <c r="I20" s="17"/>
      <c r="J20" s="17"/>
      <c r="K20" s="17"/>
      <c r="L20" s="17"/>
      <c r="M20" s="17"/>
      <c r="N20" s="15"/>
      <c r="O20" s="15"/>
      <c r="P20" s="15"/>
      <c r="Q20" s="15"/>
      <c r="R20" s="15"/>
      <c r="S20" s="15"/>
      <c r="T20" s="18"/>
      <c r="U20" s="18"/>
      <c r="V20" s="18"/>
      <c r="W20" s="18"/>
      <c r="X20" s="18"/>
      <c r="Y20" s="18"/>
      <c r="Z20" s="16"/>
      <c r="AA20" s="17"/>
      <c r="AB20" s="17"/>
      <c r="AC20" s="17"/>
      <c r="AD20" s="16"/>
      <c r="AE20" s="16"/>
      <c r="AF20" s="17"/>
      <c r="AG20" s="16"/>
      <c r="AH20" s="16"/>
      <c r="AI20" s="16"/>
      <c r="AJ20" s="16"/>
      <c r="AK20" s="17"/>
      <c r="AL20" s="16"/>
      <c r="AM20" s="16"/>
      <c r="AN20" s="16"/>
      <c r="AO20" s="16"/>
      <c r="AP20" s="32">
        <f>AP19/GBDNZ!E36</f>
        <v>6.5540227880196266E-4</v>
      </c>
      <c r="AQ20" s="32">
        <f>AQ19/GBDNZ!F36</f>
        <v>5.7354059914204066E-4</v>
      </c>
      <c r="AR20" s="32">
        <f>AR19/GBDNZ!G36</f>
        <v>6.3078190774487944E-4</v>
      </c>
      <c r="AS20" s="32">
        <f>AS19/GBDNZ!H36</f>
        <v>5.7694006914455463E-4</v>
      </c>
    </row>
    <row r="21" spans="1:45" s="13" customFormat="1" ht="13" x14ac:dyDescent="0.3">
      <c r="A21" s="20">
        <v>0</v>
      </c>
      <c r="B21" s="20">
        <v>1</v>
      </c>
      <c r="C21" s="20" t="s">
        <v>40</v>
      </c>
      <c r="D21" s="17"/>
      <c r="E21" s="17"/>
      <c r="F21" s="17"/>
      <c r="G21" s="17"/>
      <c r="H21" s="17"/>
      <c r="I21" s="17"/>
      <c r="J21" s="17"/>
      <c r="K21" s="17"/>
      <c r="L21" s="17"/>
      <c r="M21" s="17"/>
      <c r="N21" s="15"/>
      <c r="O21" s="15"/>
      <c r="P21" s="15"/>
      <c r="Q21" s="15"/>
      <c r="R21" s="15"/>
      <c r="S21" s="15"/>
      <c r="T21" s="18"/>
      <c r="U21" s="18"/>
      <c r="V21" s="18"/>
      <c r="W21" s="18"/>
      <c r="X21" s="18"/>
      <c r="Y21" s="18"/>
      <c r="Z21" s="16"/>
      <c r="AA21" s="17"/>
      <c r="AB21" s="17"/>
      <c r="AC21" s="17"/>
      <c r="AD21" s="16"/>
      <c r="AE21" s="16"/>
      <c r="AF21" s="17"/>
      <c r="AG21" s="16"/>
      <c r="AH21" s="16"/>
      <c r="AI21" s="16"/>
      <c r="AJ21" s="16"/>
      <c r="AK21" s="17"/>
      <c r="AL21" s="16"/>
      <c r="AM21" s="16"/>
      <c r="AN21" s="16"/>
      <c r="AO21" s="16"/>
      <c r="AP21" s="15"/>
      <c r="AQ21" s="15"/>
      <c r="AR21" s="15"/>
      <c r="AS21" s="15"/>
    </row>
    <row r="22" spans="1:45" s="13" customFormat="1" ht="13" x14ac:dyDescent="0.3">
      <c r="A22" s="20">
        <v>0</v>
      </c>
      <c r="B22" s="20">
        <v>1</v>
      </c>
      <c r="C22" s="20" t="s">
        <v>39</v>
      </c>
      <c r="D22" s="17">
        <f>Baseline!AN21</f>
        <v>0.39368586167290764</v>
      </c>
      <c r="E22" s="17">
        <f>Baseline!AO21</f>
        <v>0.93738511466315355</v>
      </c>
      <c r="F22" s="17">
        <f>Baseline!AP21</f>
        <v>1.7094900770477317</v>
      </c>
      <c r="G22" s="17">
        <f>Baseline!AQ21</f>
        <v>3.117562118078649</v>
      </c>
      <c r="H22" s="17">
        <f>Baseline!AR21</f>
        <v>7.4230664802300845</v>
      </c>
      <c r="I22" s="17">
        <f>IF((D22+'Non travel METs'!C22)&gt;2.5,(D22+'Non travel METs'!C22),0.1)</f>
        <v>58.193685861672904</v>
      </c>
      <c r="J22" s="17">
        <f>IF((E22+'Non travel METs'!D22)&gt;2.5,(E22+'Non travel METs'!D22),0.1)</f>
        <v>41.937385114663151</v>
      </c>
      <c r="K22" s="17">
        <f>IF((F22+'Non travel METs'!E22)&gt;2.5,(F22+'Non travel METs'!E22),0.1)</f>
        <v>47.209490077047732</v>
      </c>
      <c r="L22" s="17">
        <f>IF((G22+'Non travel METs'!F22)&gt;2.5,(G22+'Non travel METs'!F22),0.1)</f>
        <v>41.042562118078649</v>
      </c>
      <c r="M22" s="17">
        <f>IF((H22+'Non travel METs'!G22)&gt;2.5,(H22+'Non travel METs'!G22),0.1)</f>
        <v>48.423066480230084</v>
      </c>
      <c r="N22" s="19">
        <f>'Phy activity RRs'!$E$4</f>
        <v>0.96065247560449929</v>
      </c>
      <c r="O22" s="15">
        <f>IF(('user page'!$R$36=0),$N22^(I22^0.25),IF(('user page'!$R$36=1),$N22^(I22^0.5),IF(('user page'!$R$36=2),$N22^(I22^0.375),IF(('user page'!$R$36=4),$N22^(I22),IF(('user page'!$R$36=3),$N22^(LN(1+I22)),"")))))</f>
        <v>0.73621971030929345</v>
      </c>
      <c r="P22" s="15">
        <f>IF(('user page'!$R$36=0),$N22^(J22^0.25),IF(('user page'!$R$36=1),$N22^(J22^0.5),IF(('user page'!$R$36=2),$N22^(J22^0.375),IF(('user page'!$R$36=4),$N22^(J22),IF(('user page'!$R$36=3),$N22^(LN(1+J22)),"")))))</f>
        <v>0.77108277628787725</v>
      </c>
      <c r="Q22" s="15">
        <f>IF(('user page'!$R$36=0),$N22^(K22^0.25),IF(('user page'!$R$36=1),$N22^(K22^0.5),IF(('user page'!$R$36=2),$N22^(K22^0.375),IF(('user page'!$R$36=4),$N22^(K22),IF(('user page'!$R$36=3),$N22^(LN(1+K22)),"")))))</f>
        <v>0.75895242070406432</v>
      </c>
      <c r="R22" s="15">
        <f>IF(('user page'!$R$36=0),$N22^(L22^0.25),IF(('user page'!$R$36=1),$N22^(L22^0.5),IF(('user page'!$R$36=2),$N22^(L22^0.375),IF(('user page'!$R$36=4),$N22^(L22),IF(('user page'!$R$36=3),$N22^(LN(1+L22)),"")))))</f>
        <v>0.77323582373638511</v>
      </c>
      <c r="S22" s="15">
        <f>IF(('user page'!$R$36=0),$N22^(M22^0.25),IF(('user page'!$R$36=1),$N22^(M22^0.5),IF(('user page'!$R$36=2),$N22^(M22^0.375),IF(('user page'!$R$36=4),$N22^(M22),IF(('user page'!$R$36=3),$N22^(LN(1+M22)),"")))))</f>
        <v>0.75628363969397794</v>
      </c>
      <c r="T22" s="18">
        <f t="shared" ref="T22:X27" si="16">O22/$O22</f>
        <v>1</v>
      </c>
      <c r="U22" s="18">
        <f t="shared" si="16"/>
        <v>1.047354160029127</v>
      </c>
      <c r="V22" s="18">
        <f t="shared" si="16"/>
        <v>1.030877617206446</v>
      </c>
      <c r="W22" s="18">
        <f t="shared" si="16"/>
        <v>1.0502786232272168</v>
      </c>
      <c r="X22" s="18">
        <f t="shared" si="16"/>
        <v>1.0272526381781539</v>
      </c>
      <c r="Y22" s="18"/>
      <c r="Z22" s="16"/>
      <c r="AA22" s="17">
        <f>GBDNZ!E22/($T22+$W22+$X22+U22+V22)</f>
        <v>0.34085834973968188</v>
      </c>
      <c r="AB22" s="16">
        <f t="shared" ref="AB22:AE27" si="17">$AA22*U22</f>
        <v>0.35699941058051887</v>
      </c>
      <c r="AC22" s="16">
        <f t="shared" si="17"/>
        <v>0.35138324338456467</v>
      </c>
      <c r="AD22" s="16">
        <f t="shared" si="17"/>
        <v>0.35799623828009425</v>
      </c>
      <c r="AE22" s="16">
        <f t="shared" si="17"/>
        <v>0.35014763901514007</v>
      </c>
      <c r="AF22" s="17">
        <f>GBDNZ!F22/($T22+$W22+$X22+U22+V22)</f>
        <v>21.1020001562521</v>
      </c>
      <c r="AG22" s="16">
        <f t="shared" ref="AG22:AJ27" si="18">$AF22*U22</f>
        <v>22.101267648585925</v>
      </c>
      <c r="AH22" s="16">
        <f t="shared" si="18"/>
        <v>21.753579639367217</v>
      </c>
      <c r="AI22" s="16">
        <f t="shared" si="18"/>
        <v>22.162979671448969</v>
      </c>
      <c r="AJ22" s="16">
        <f t="shared" si="18"/>
        <v>21.677085331345786</v>
      </c>
      <c r="AK22" s="17">
        <f>GBDNZ!G22/($T22+$W22+$X22+U22+V22)</f>
        <v>0.48828428555234882</v>
      </c>
      <c r="AL22" s="16">
        <f t="shared" ref="AL22:AO27" si="19">U22*$AK22</f>
        <v>0.51140657775010268</v>
      </c>
      <c r="AM22" s="16">
        <f t="shared" si="19"/>
        <v>0.50336134080955719</v>
      </c>
      <c r="AN22" s="16">
        <f t="shared" si="19"/>
        <v>0.51283454717340604</v>
      </c>
      <c r="AO22" s="16">
        <f t="shared" si="19"/>
        <v>0.50159132051458533</v>
      </c>
      <c r="AP22" s="16"/>
      <c r="AQ22" s="15"/>
      <c r="AR22" s="15"/>
      <c r="AS22" s="15"/>
    </row>
    <row r="23" spans="1:45" s="13" customFormat="1" ht="13" x14ac:dyDescent="0.3">
      <c r="A23" s="20">
        <v>0</v>
      </c>
      <c r="B23" s="20">
        <v>1</v>
      </c>
      <c r="C23" s="20" t="s">
        <v>38</v>
      </c>
      <c r="D23" s="17">
        <f>Baseline!AN22</f>
        <v>0.25162211131265011</v>
      </c>
      <c r="E23" s="17">
        <f>Baseline!AO22</f>
        <v>0.59912444064491777</v>
      </c>
      <c r="F23" s="17">
        <f>Baseline!AP22</f>
        <v>1.092610998594</v>
      </c>
      <c r="G23" s="17">
        <f>Baseline!AQ22</f>
        <v>1.9925723493495484</v>
      </c>
      <c r="H23" s="17">
        <f>Baseline!AR22</f>
        <v>4.7444113238730328</v>
      </c>
      <c r="I23" s="17">
        <f>IF((D23+'Non travel METs'!C23)&gt;2.5,(D23+'Non travel METs'!C23),0.1)</f>
        <v>51.501622111312649</v>
      </c>
      <c r="J23" s="17">
        <f>IF((E23+'Non travel METs'!D23)&gt;2.5,(E23+'Non travel METs'!D23),0.1)</f>
        <v>51.849124440644921</v>
      </c>
      <c r="K23" s="17">
        <f>IF((F23+'Non travel METs'!E23)&gt;2.5,(F23+'Non travel METs'!E23),0.1)</f>
        <v>65.842610998593997</v>
      </c>
      <c r="L23" s="17">
        <f>IF((G23+'Non travel METs'!F23)&gt;2.5,(G23+'Non travel METs'!F23),0.1)</f>
        <v>48.117572349349551</v>
      </c>
      <c r="M23" s="17">
        <f>IF((H23+'Non travel METs'!G23)&gt;2.5,(H23+'Non travel METs'!G23),0.1)</f>
        <v>49.544411323873028</v>
      </c>
      <c r="N23" s="19">
        <f>'Phy activity RRs'!$E$4</f>
        <v>0.96065247560449929</v>
      </c>
      <c r="O23" s="15">
        <f>IF(('user page'!$R$36=0),$N23^(I23^0.25),IF(('user page'!$R$36=1),$N23^(I23^0.5),IF(('user page'!$R$36=2),$N23^(I23^0.375),IF(('user page'!$R$36=4),$N23^(I23),IF(('user page'!$R$36=3),$N23^(LN(1+I23)),"")))))</f>
        <v>0.74970039708979919</v>
      </c>
      <c r="P23" s="15">
        <f>IF(('user page'!$R$36=0),$N23^(J23^0.25),IF(('user page'!$R$36=1),$N23^(J23^0.5),IF(('user page'!$R$36=2),$N23^(J23^0.375),IF(('user page'!$R$36=4),$N23^(J23),IF(('user page'!$R$36=3),$N23^(LN(1+J23)),"")))))</f>
        <v>0.74897333969711177</v>
      </c>
      <c r="Q23" s="15">
        <f>IF(('user page'!$R$36=0),$N23^(K23^0.25),IF(('user page'!$R$36=1),$N23^(K23^0.5),IF(('user page'!$R$36=2),$N23^(K23^0.375),IF(('user page'!$R$36=4),$N23^(K23),IF(('user page'!$R$36=3),$N23^(LN(1+K23)),"")))))</f>
        <v>0.72199963335818673</v>
      </c>
      <c r="R23" s="15">
        <f>IF(('user page'!$R$36=0),$N23^(L23^0.25),IF(('user page'!$R$36=1),$N23^(L23^0.5),IF(('user page'!$R$36=2),$N23^(L23^0.375),IF(('user page'!$R$36=4),$N23^(L23),IF(('user page'!$R$36=3),$N23^(LN(1+L23)),"")))))</f>
        <v>0.75695139107691234</v>
      </c>
      <c r="S23" s="15">
        <f>IF(('user page'!$R$36=0),$N23^(M23^0.25),IF(('user page'!$R$36=1),$N23^(M23^0.5),IF(('user page'!$R$36=2),$N23^(M23^0.375),IF(('user page'!$R$36=4),$N23^(M23),IF(('user page'!$R$36=3),$N23^(LN(1+M23)),"")))))</f>
        <v>0.75385545329165826</v>
      </c>
      <c r="T23" s="18">
        <f t="shared" si="16"/>
        <v>1</v>
      </c>
      <c r="U23" s="18">
        <f t="shared" si="16"/>
        <v>0.99903020273764065</v>
      </c>
      <c r="V23" s="18">
        <f t="shared" si="16"/>
        <v>0.96305088827598095</v>
      </c>
      <c r="W23" s="18">
        <f t="shared" si="16"/>
        <v>1.0096718556042656</v>
      </c>
      <c r="X23" s="18">
        <f t="shared" si="16"/>
        <v>1.0055422889169972</v>
      </c>
      <c r="Y23" s="18"/>
      <c r="Z23" s="16"/>
      <c r="AA23" s="17">
        <f>GBDNZ!E23/($T23+$W23+$X23+U23+V23)</f>
        <v>2.3181754005315791</v>
      </c>
      <c r="AB23" s="16">
        <f t="shared" si="17"/>
        <v>2.3159272403744748</v>
      </c>
      <c r="AC23" s="16">
        <f t="shared" si="17"/>
        <v>2.232520878661465</v>
      </c>
      <c r="AD23" s="16">
        <f t="shared" si="17"/>
        <v>2.3405964582708814</v>
      </c>
      <c r="AE23" s="16">
        <f t="shared" si="17"/>
        <v>2.3310233983616007</v>
      </c>
      <c r="AF23" s="17">
        <f>GBDNZ!F23/($T23+$W23+$X23+U23+V23)</f>
        <v>109.78532658295838</v>
      </c>
      <c r="AG23" s="16">
        <f t="shared" si="18"/>
        <v>109.67885707379099</v>
      </c>
      <c r="AH23" s="16">
        <f t="shared" si="18"/>
        <v>105.72885628538673</v>
      </c>
      <c r="AI23" s="16">
        <f t="shared" si="18"/>
        <v>110.8471544091359</v>
      </c>
      <c r="AJ23" s="16">
        <f t="shared" si="18"/>
        <v>110.39378858172802</v>
      </c>
      <c r="AK23" s="17">
        <f>GBDNZ!G23/($T23+$W23+$X23+U23+V23)</f>
        <v>3.8613255151891024</v>
      </c>
      <c r="AL23" s="16">
        <f t="shared" si="19"/>
        <v>3.8575808122753936</v>
      </c>
      <c r="AM23" s="16">
        <f t="shared" si="19"/>
        <v>3.7186529673255748</v>
      </c>
      <c r="AN23" s="16">
        <f t="shared" si="19"/>
        <v>3.8986716980130782</v>
      </c>
      <c r="AO23" s="16">
        <f t="shared" si="19"/>
        <v>3.8827260967968531</v>
      </c>
      <c r="AP23" s="16"/>
      <c r="AQ23" s="15"/>
      <c r="AR23" s="15"/>
      <c r="AS23" s="15"/>
    </row>
    <row r="24" spans="1:45" s="13" customFormat="1" ht="13" x14ac:dyDescent="0.3">
      <c r="A24" s="20">
        <v>0</v>
      </c>
      <c r="B24" s="20">
        <v>1</v>
      </c>
      <c r="C24" s="20" t="s">
        <v>37</v>
      </c>
      <c r="D24" s="17">
        <f>Baseline!AN23</f>
        <v>0.44656832716641398</v>
      </c>
      <c r="E24" s="17">
        <f>Baseline!AO23</f>
        <v>1.0633008276878868</v>
      </c>
      <c r="F24" s="17">
        <f>Baseline!AP23</f>
        <v>1.9391199896557647</v>
      </c>
      <c r="G24" s="17">
        <f>Baseline!AQ23</f>
        <v>3.5363334969455225</v>
      </c>
      <c r="H24" s="17">
        <f>Baseline!AR23</f>
        <v>8.4201814269764306</v>
      </c>
      <c r="I24" s="17">
        <f>IF((D24+'Non travel METs'!C24)&gt;2.5,(D24+'Non travel METs'!C24),0.1)</f>
        <v>58.721568327166409</v>
      </c>
      <c r="J24" s="17">
        <f>IF((E24+'Non travel METs'!D24)&gt;2.5,(E24+'Non travel METs'!D24),0.1)</f>
        <v>62.56330082768789</v>
      </c>
      <c r="K24" s="17">
        <f>IF((F24+'Non travel METs'!E24)&gt;2.5,(F24+'Non travel METs'!E24),0.1)</f>
        <v>55.664119989655767</v>
      </c>
      <c r="L24" s="17">
        <f>IF((G24+'Non travel METs'!F24)&gt;2.5,(G24+'Non travel METs'!F24),0.1)</f>
        <v>55.736333496945527</v>
      </c>
      <c r="M24" s="17">
        <f>IF((H24+'Non travel METs'!G24)&gt;2.5,(H24+'Non travel METs'!G24),0.1)</f>
        <v>55.12018142697643</v>
      </c>
      <c r="N24" s="19">
        <f>'Phy activity RRs'!$E$4</f>
        <v>0.96065247560449929</v>
      </c>
      <c r="O24" s="15">
        <f>IF(('user page'!$R$36=0),$N24^(I24^0.25),IF(('user page'!$R$36=1),$N24^(I24^0.5),IF(('user page'!$R$36=2),$N24^(I24^0.375),IF(('user page'!$R$36=4),$N24^(I24),IF(('user page'!$R$36=3),$N24^(LN(1+I24)),"")))))</f>
        <v>0.73520018170550083</v>
      </c>
      <c r="P24" s="15">
        <f>IF(('user page'!$R$36=0),$N24^(J24^0.25),IF(('user page'!$R$36=1),$N24^(J24^0.5),IF(('user page'!$R$36=2),$N24^(J24^0.375),IF(('user page'!$R$36=4),$N24^(J24),IF(('user page'!$R$36=3),$N24^(LN(1+J24)),"")))))</f>
        <v>0.72795539900771589</v>
      </c>
      <c r="Q24" s="15">
        <f>IF(('user page'!$R$36=0),$N24^(K24^0.25),IF(('user page'!$R$36=1),$N24^(K24^0.5),IF(('user page'!$R$36=2),$N24^(K24^0.375),IF(('user page'!$R$36=4),$N24^(K24),IF(('user page'!$R$36=3),$N24^(LN(1+K24)),"")))))</f>
        <v>0.74119079359431983</v>
      </c>
      <c r="R24" s="15">
        <f>IF(('user page'!$R$36=0),$N24^(L24^0.25),IF(('user page'!$R$36=1),$N24^(L24^0.5),IF(('user page'!$R$36=2),$N24^(L24^0.375),IF(('user page'!$R$36=4),$N24^(L24),IF(('user page'!$R$36=3),$N24^(LN(1+L24)),"")))))</f>
        <v>0.74104686306242418</v>
      </c>
      <c r="S24" s="15">
        <f>IF(('user page'!$R$36=0),$N24^(M24^0.25),IF(('user page'!$R$36=1),$N24^(M24^0.5),IF(('user page'!$R$36=2),$N24^(M24^0.375),IF(('user page'!$R$36=4),$N24^(M24),IF(('user page'!$R$36=3),$N24^(LN(1+M24)),"")))))</f>
        <v>0.74227884831870683</v>
      </c>
      <c r="T24" s="18">
        <f t="shared" si="16"/>
        <v>1</v>
      </c>
      <c r="U24" s="18">
        <f t="shared" si="16"/>
        <v>0.99014583663325728</v>
      </c>
      <c r="V24" s="18">
        <f t="shared" si="16"/>
        <v>1.008148273134158</v>
      </c>
      <c r="W24" s="18">
        <f t="shared" si="16"/>
        <v>1.0079525026005303</v>
      </c>
      <c r="X24" s="18">
        <f t="shared" si="16"/>
        <v>1.0096282166263684</v>
      </c>
      <c r="Y24" s="18"/>
      <c r="Z24" s="16"/>
      <c r="AA24" s="17">
        <f>GBDNZ!E24/($T24+$W24+$X24+U24+V24)</f>
        <v>18.537614626169411</v>
      </c>
      <c r="AB24" s="16">
        <f t="shared" si="17"/>
        <v>18.354941943213419</v>
      </c>
      <c r="AC24" s="16">
        <f t="shared" si="17"/>
        <v>18.6886641733992</v>
      </c>
      <c r="AD24" s="16">
        <f t="shared" si="17"/>
        <v>18.685035054691649</v>
      </c>
      <c r="AE24" s="16">
        <f t="shared" si="17"/>
        <v>18.716098795526303</v>
      </c>
      <c r="AF24" s="17">
        <f>GBDNZ!F24/($T24+$W24+$X24+U24+V24)</f>
        <v>624.1988894004653</v>
      </c>
      <c r="AG24" s="16">
        <f t="shared" si="18"/>
        <v>618.04793157097379</v>
      </c>
      <c r="AH24" s="16">
        <f t="shared" si="18"/>
        <v>629.28503244133833</v>
      </c>
      <c r="AI24" s="16">
        <f t="shared" si="18"/>
        <v>629.16283269167059</v>
      </c>
      <c r="AJ24" s="16">
        <f t="shared" si="18"/>
        <v>630.20881152555148</v>
      </c>
      <c r="AK24" s="17">
        <f>GBDNZ!G24/($T24+$W24+$X24+U24+V24)</f>
        <v>27.695904714762062</v>
      </c>
      <c r="AL24" s="16">
        <f t="shared" si="19"/>
        <v>27.422984745113055</v>
      </c>
      <c r="AM24" s="16">
        <f t="shared" si="19"/>
        <v>27.921578511075559</v>
      </c>
      <c r="AN24" s="16">
        <f t="shared" si="19"/>
        <v>27.916156469030245</v>
      </c>
      <c r="AO24" s="16">
        <f t="shared" si="19"/>
        <v>27.962566885019047</v>
      </c>
      <c r="AP24" s="16"/>
      <c r="AQ24" s="15"/>
      <c r="AR24" s="15"/>
      <c r="AS24" s="15"/>
    </row>
    <row r="25" spans="1:45" s="13" customFormat="1" ht="13" x14ac:dyDescent="0.3">
      <c r="A25" s="20">
        <v>0</v>
      </c>
      <c r="B25" s="20">
        <v>1</v>
      </c>
      <c r="C25" s="20" t="s">
        <v>36</v>
      </c>
      <c r="D25" s="17">
        <f>Baseline!AN24</f>
        <v>0.42413880257562148</v>
      </c>
      <c r="E25" s="17">
        <f>Baseline!AO24</f>
        <v>1.009895042702271</v>
      </c>
      <c r="F25" s="17">
        <f>Baseline!AP24</f>
        <v>1.8417249509873066</v>
      </c>
      <c r="G25" s="17">
        <f>Baseline!AQ24</f>
        <v>3.3587161553076208</v>
      </c>
      <c r="H25" s="17">
        <f>Baseline!AR24</f>
        <v>7.99726592919881</v>
      </c>
      <c r="I25" s="17">
        <f>IF((D25+'Non travel METs'!C25)&gt;2.5,(D25+'Non travel METs'!C25),0.1)</f>
        <v>41.424138802575619</v>
      </c>
      <c r="J25" s="17">
        <f>IF((E25+'Non travel METs'!D25)&gt;2.5,(E25+'Non travel METs'!D25),0.1)</f>
        <v>32.259895042702269</v>
      </c>
      <c r="K25" s="17">
        <f>IF((F25+'Non travel METs'!E25)&gt;2.5,(F25+'Non travel METs'!E25),0.1)</f>
        <v>45.925058284320606</v>
      </c>
      <c r="L25" s="17">
        <f>IF((G25+'Non travel METs'!F25)&gt;2.5,(G25+'Non travel METs'!F25),0.1)</f>
        <v>45.858716155307619</v>
      </c>
      <c r="M25" s="17">
        <f>IF((H25+'Non travel METs'!G25)&gt;2.5,(H25+'Non travel METs'!G25),0.1)</f>
        <v>40.797265929198808</v>
      </c>
      <c r="N25" s="19">
        <f>'Phy activity RRs'!$E$4</f>
        <v>0.96065247560449929</v>
      </c>
      <c r="O25" s="15">
        <f>IF(('user page'!$R$36=0),$N25^(I25^0.25),IF(('user page'!$R$36=1),$N25^(I25^0.5),IF(('user page'!$R$36=2),$N25^(I25^0.375),IF(('user page'!$R$36=4),$N25^(I25),IF(('user page'!$R$36=3),$N25^(LN(1+I25)),"")))))</f>
        <v>0.7723141296858792</v>
      </c>
      <c r="P25" s="15">
        <f>IF(('user page'!$R$36=0),$N25^(J25^0.25),IF(('user page'!$R$36=1),$N25^(J25^0.5),IF(('user page'!$R$36=2),$N25^(J25^0.375),IF(('user page'!$R$36=4),$N25^(J25),IF(('user page'!$R$36=3),$N25^(LN(1+J25)),"")))))</f>
        <v>0.79612353723204032</v>
      </c>
      <c r="Q25" s="15">
        <f>IF(('user page'!$R$36=0),$N25^(K25^0.25),IF(('user page'!$R$36=1),$N25^(K25^0.5),IF(('user page'!$R$36=2),$N25^(K25^0.375),IF(('user page'!$R$36=4),$N25^(K25),IF(('user page'!$R$36=3),$N25^(LN(1+K25)),"")))))</f>
        <v>0.76182512715216921</v>
      </c>
      <c r="R25" s="15">
        <f>IF(('user page'!$R$36=0),$N25^(L25^0.25),IF(('user page'!$R$36=1),$N25^(L25^0.5),IF(('user page'!$R$36=2),$N25^(L25^0.375),IF(('user page'!$R$36=4),$N25^(L25),IF(('user page'!$R$36=3),$N25^(LN(1+L25)),"")))))</f>
        <v>0.76197488671216074</v>
      </c>
      <c r="S25" s="15">
        <f>IF(('user page'!$R$36=0),$N25^(M25^0.25),IF(('user page'!$R$36=1),$N25^(M25^0.5),IF(('user page'!$R$36=2),$N25^(M25^0.375),IF(('user page'!$R$36=4),$N25^(M25),IF(('user page'!$R$36=3),$N25^(LN(1+M25)),"")))))</f>
        <v>0.7738311816684067</v>
      </c>
      <c r="T25" s="18">
        <f t="shared" si="16"/>
        <v>1</v>
      </c>
      <c r="U25" s="18">
        <f t="shared" si="16"/>
        <v>1.0308286571888112</v>
      </c>
      <c r="V25" s="18">
        <f t="shared" si="16"/>
        <v>0.98641873542055203</v>
      </c>
      <c r="W25" s="18">
        <f t="shared" si="16"/>
        <v>0.98661264558512773</v>
      </c>
      <c r="X25" s="18">
        <f t="shared" si="16"/>
        <v>1.0019642939630595</v>
      </c>
      <c r="Y25" s="18"/>
      <c r="Z25" s="16"/>
      <c r="AA25" s="17">
        <f>GBDNZ!E25/($T25+$W25+$X25+U25+V25)</f>
        <v>40.172793274254829</v>
      </c>
      <c r="AB25" s="16">
        <f t="shared" si="17"/>
        <v>41.411266546423811</v>
      </c>
      <c r="AC25" s="16">
        <f t="shared" si="17"/>
        <v>39.627195939901704</v>
      </c>
      <c r="AD25" s="16">
        <f t="shared" si="17"/>
        <v>39.634985852856985</v>
      </c>
      <c r="AE25" s="16">
        <f t="shared" si="17"/>
        <v>40.251704449562688</v>
      </c>
      <c r="AF25" s="17">
        <f>GBDNZ!F25/($T25+$W25+$X25+U25+V25)</f>
        <v>944.09153002839696</v>
      </c>
      <c r="AG25" s="16">
        <f t="shared" si="18"/>
        <v>973.19660416250269</v>
      </c>
      <c r="AH25" s="16">
        <f t="shared" si="18"/>
        <v>931.26957317186543</v>
      </c>
      <c r="AI25" s="16">
        <f t="shared" si="18"/>
        <v>931.45264211582776</v>
      </c>
      <c r="AJ25" s="16">
        <f t="shared" si="18"/>
        <v>945.94600332140737</v>
      </c>
      <c r="AK25" s="17">
        <f>GBDNZ!G25/($T25+$W25+$X25+U25+V25)</f>
        <v>49.569823222911751</v>
      </c>
      <c r="AL25" s="16">
        <f t="shared" si="19"/>
        <v>51.097994309960868</v>
      </c>
      <c r="AM25" s="16">
        <f t="shared" si="19"/>
        <v>48.896602338564925</v>
      </c>
      <c r="AN25" s="16">
        <f t="shared" si="19"/>
        <v>48.906214431144065</v>
      </c>
      <c r="AO25" s="16">
        <f t="shared" si="19"/>
        <v>49.667192927418448</v>
      </c>
      <c r="AP25" s="16"/>
      <c r="AQ25" s="15"/>
      <c r="AR25" s="15"/>
      <c r="AS25" s="15"/>
    </row>
    <row r="26" spans="1:45" s="13" customFormat="1" ht="13" x14ac:dyDescent="0.3">
      <c r="A26" s="20">
        <v>0</v>
      </c>
      <c r="B26" s="20">
        <v>1</v>
      </c>
      <c r="C26" s="20" t="s">
        <v>35</v>
      </c>
      <c r="D26" s="17">
        <f>Baseline!AN25</f>
        <v>0.51496682448345821</v>
      </c>
      <c r="E26" s="17">
        <f>Baseline!AO25</f>
        <v>1.2261609643914881</v>
      </c>
      <c r="F26" s="17">
        <f>Baseline!AP25</f>
        <v>2.2361246927243523</v>
      </c>
      <c r="G26" s="17">
        <f>Baseline!AQ25</f>
        <v>4.0779749042924998</v>
      </c>
      <c r="H26" s="17">
        <f>Baseline!AR25</f>
        <v>9.7098558658164578</v>
      </c>
      <c r="I26" s="17">
        <f>IF((D26+'Non travel METs'!C26)&gt;2.5,(D26+'Non travel METs'!C26),0.1)</f>
        <v>4.8899668244834587</v>
      </c>
      <c r="J26" s="17">
        <f>IF((E26+'Non travel METs'!D26)&gt;2.5,(E26+'Non travel METs'!D26),0.1)</f>
        <v>6.2261609643914877</v>
      </c>
      <c r="K26" s="17">
        <f>IF((F26+'Non travel METs'!E26)&gt;2.5,(F26+'Non travel METs'!E26),0.1)</f>
        <v>10.569458026057683</v>
      </c>
      <c r="L26" s="17">
        <f>IF((G26+'Non travel METs'!F26)&gt;2.5,(G26+'Non travel METs'!F26),0.1)</f>
        <v>7.8279749042924998</v>
      </c>
      <c r="M26" s="17">
        <f>IF((H26+'Non travel METs'!G26)&gt;2.5,(H26+'Non travel METs'!G26),0.1)</f>
        <v>22.834855865816458</v>
      </c>
      <c r="N26" s="19">
        <f>'Phy activity RRs'!$E$4</f>
        <v>0.96065247560449929</v>
      </c>
      <c r="O26" s="15">
        <f>IF(('user page'!$R$36=0),$N26^(I26^0.25),IF(('user page'!$R$36=1),$N26^(I26^0.5),IF(('user page'!$R$36=2),$N26^(I26^0.375),IF(('user page'!$R$36=4),$N26^(I26),IF(('user page'!$R$36=3),$N26^(LN(1+I26)),"")))))</f>
        <v>0.91505753897258124</v>
      </c>
      <c r="P26" s="15">
        <f>IF(('user page'!$R$36=0),$N26^(J26^0.25),IF(('user page'!$R$36=1),$N26^(J26^0.5),IF(('user page'!$R$36=2),$N26^(J26^0.375),IF(('user page'!$R$36=4),$N26^(J26),IF(('user page'!$R$36=3),$N26^(LN(1+J26)),"")))))</f>
        <v>0.90468828290607883</v>
      </c>
      <c r="Q26" s="15">
        <f>IF(('user page'!$R$36=0),$N26^(K26^0.25),IF(('user page'!$R$36=1),$N26^(K26^0.5),IF(('user page'!$R$36=2),$N26^(K26^0.375),IF(('user page'!$R$36=4),$N26^(K26),IF(('user page'!$R$36=3),$N26^(LN(1+K26)),"")))))</f>
        <v>0.87765096822844924</v>
      </c>
      <c r="R26" s="15">
        <f>IF(('user page'!$R$36=0),$N26^(L26^0.25),IF(('user page'!$R$36=1),$N26^(L26^0.5),IF(('user page'!$R$36=2),$N26^(L26^0.375),IF(('user page'!$R$36=4),$N26^(L26),IF(('user page'!$R$36=3),$N26^(LN(1+L26)),"")))))</f>
        <v>0.89376451505680499</v>
      </c>
      <c r="S26" s="15">
        <f>IF(('user page'!$R$36=0),$N26^(M26^0.25),IF(('user page'!$R$36=1),$N26^(M26^0.5),IF(('user page'!$R$36=2),$N26^(M26^0.375),IF(('user page'!$R$36=4),$N26^(M26),IF(('user page'!$R$36=3),$N26^(LN(1+M26)),"")))))</f>
        <v>0.82545166301023942</v>
      </c>
      <c r="T26" s="18">
        <f t="shared" si="16"/>
        <v>1</v>
      </c>
      <c r="U26" s="18">
        <f t="shared" si="16"/>
        <v>0.98866819229953018</v>
      </c>
      <c r="V26" s="237">
        <f t="shared" si="16"/>
        <v>0.95912107255448464</v>
      </c>
      <c r="W26" s="18">
        <f t="shared" si="16"/>
        <v>0.9767303988996322</v>
      </c>
      <c r="X26" s="18">
        <f t="shared" si="16"/>
        <v>0.90207623876532339</v>
      </c>
      <c r="Y26" s="18"/>
      <c r="Z26" s="16"/>
      <c r="AA26" s="17">
        <f>GBDNZ!E26/($T26+$W26+$X26+U26+V26)</f>
        <v>49.160439202330224</v>
      </c>
      <c r="AB26" s="16">
        <f t="shared" si="17"/>
        <v>48.60336255881878</v>
      </c>
      <c r="AC26" s="16">
        <f t="shared" si="17"/>
        <v>47.1508131749885</v>
      </c>
      <c r="AD26" s="16">
        <f t="shared" si="17"/>
        <v>48.01649539217312</v>
      </c>
      <c r="AE26" s="16">
        <f t="shared" si="17"/>
        <v>44.346464091689406</v>
      </c>
      <c r="AF26" s="17">
        <f>GBDNZ!F26/($T26+$W26+$X26+U26+V26)</f>
        <v>749.11740604035151</v>
      </c>
      <c r="AG26" s="16">
        <f t="shared" si="18"/>
        <v>740.62855165002748</v>
      </c>
      <c r="AH26" s="16">
        <f t="shared" si="18"/>
        <v>718.49428995065534</v>
      </c>
      <c r="AI26" s="16">
        <f t="shared" si="18"/>
        <v>731.68574282445024</v>
      </c>
      <c r="AJ26" s="16">
        <f t="shared" si="18"/>
        <v>675.76101203451583</v>
      </c>
      <c r="AK26" s="17">
        <f>GBDNZ!G26/($T26+$W26+$X26+U26+V26)</f>
        <v>52.60289680300248</v>
      </c>
      <c r="AL26" s="16">
        <f t="shared" si="19"/>
        <v>52.006810891943196</v>
      </c>
      <c r="AM26" s="16">
        <f t="shared" si="19"/>
        <v>50.452546801168609</v>
      </c>
      <c r="AN26" s="16">
        <f t="shared" si="19"/>
        <v>51.378848377672803</v>
      </c>
      <c r="AO26" s="16">
        <f t="shared" si="19"/>
        <v>47.451823296212929</v>
      </c>
      <c r="AP26" s="16"/>
      <c r="AQ26" s="15"/>
      <c r="AR26" s="15"/>
      <c r="AS26" s="15"/>
    </row>
    <row r="27" spans="1:45" s="13" customFormat="1" ht="13" x14ac:dyDescent="0.3">
      <c r="A27" s="20">
        <v>0</v>
      </c>
      <c r="B27" s="20">
        <v>1</v>
      </c>
      <c r="C27" s="20" t="s">
        <v>34</v>
      </c>
      <c r="D27" s="17">
        <f>Baseline!AN26</f>
        <v>0.25245260283815635</v>
      </c>
      <c r="E27" s="17">
        <f>Baseline!AO26</f>
        <v>0.60110188121277408</v>
      </c>
      <c r="F27" s="17">
        <f>Baseline!AP26</f>
        <v>1.096217216546284</v>
      </c>
      <c r="G27" s="17">
        <f>Baseline!AQ26</f>
        <v>1.9991489353318384</v>
      </c>
      <c r="H27" s="17">
        <f>Baseline!AR26</f>
        <v>4.7600704937982714</v>
      </c>
      <c r="I27" s="17">
        <f>IF((D27+'Non travel METs'!C27)&gt;2.5,(D27+'Non travel METs'!C27),0.1)</f>
        <v>0.1</v>
      </c>
      <c r="J27" s="17">
        <f>IF((E27+'Non travel METs'!D27)&gt;2.5,(E27+'Non travel METs'!D27),0.1)</f>
        <v>10.601101881212774</v>
      </c>
      <c r="K27" s="17">
        <f>IF((F27+'Non travel METs'!E27)&gt;2.5,(F27+'Non travel METs'!E27),0.1)</f>
        <v>4.8462172165462842</v>
      </c>
      <c r="L27" s="17">
        <f>IF((G27+'Non travel METs'!F27)&gt;2.5,(G27+'Non travel METs'!F27),0.1)</f>
        <v>7.2074822686651689</v>
      </c>
      <c r="M27" s="17">
        <f>IF((H27+'Non travel METs'!G27)&gt;2.5,(H27+'Non travel METs'!G27),0.1)</f>
        <v>4.7600704937982714</v>
      </c>
      <c r="N27" s="19">
        <f>'Phy activity RRs'!$E$4</f>
        <v>0.96065247560449929</v>
      </c>
      <c r="O27" s="15">
        <f>IF(('user page'!$R$36=0),$N27^(I27^0.25),IF(('user page'!$R$36=1),$N27^(I27^0.5),IF(('user page'!$R$36=2),$N27^(I27^0.375),IF(('user page'!$R$36=4),$N27^(I27),IF(('user page'!$R$36=3),$N27^(LN(1+I27)),"")))))</f>
        <v>0.98738603830564786</v>
      </c>
      <c r="P27" s="15">
        <f>IF(('user page'!$R$36=0),$N27^(J27^0.25),IF(('user page'!$R$36=1),$N27^(J27^0.5),IF(('user page'!$R$36=2),$N27^(J27^0.375),IF(('user page'!$R$36=4),$N27^(J27),IF(('user page'!$R$36=3),$N27^(LN(1+J27)),"")))))</f>
        <v>0.87747965421614649</v>
      </c>
      <c r="Q27" s="15">
        <f>IF(('user page'!$R$36=0),$N27^(K27^0.25),IF(('user page'!$R$36=1),$N27^(K27^0.5),IF(('user page'!$R$36=2),$N27^(K27^0.375),IF(('user page'!$R$36=4),$N27^(K27),IF(('user page'!$R$36=3),$N27^(LN(1+K27)),"")))))</f>
        <v>0.91542179421067349</v>
      </c>
      <c r="R27" s="15">
        <f>IF(('user page'!$R$36=0),$N27^(L27^0.25),IF(('user page'!$R$36=1),$N27^(L27^0.5),IF(('user page'!$R$36=2),$N27^(L27^0.375),IF(('user page'!$R$36=4),$N27^(L27),IF(('user page'!$R$36=3),$N27^(LN(1+L27)),"")))))</f>
        <v>0.89783429524318326</v>
      </c>
      <c r="S27" s="15">
        <f>IF(('user page'!$R$36=0),$N27^(M27^0.25),IF(('user page'!$R$36=1),$N27^(M27^0.5),IF(('user page'!$R$36=2),$N27^(M27^0.375),IF(('user page'!$R$36=4),$N27^(M27),IF(('user page'!$R$36=3),$N27^(LN(1+M27)),"")))))</f>
        <v>0.91614431111782524</v>
      </c>
      <c r="T27" s="18">
        <f t="shared" si="16"/>
        <v>1</v>
      </c>
      <c r="U27" s="18">
        <f t="shared" si="16"/>
        <v>0.88868955016003626</v>
      </c>
      <c r="V27" s="18">
        <f t="shared" si="16"/>
        <v>0.92711640502992643</v>
      </c>
      <c r="W27" s="18">
        <f t="shared" si="16"/>
        <v>0.90930422389186782</v>
      </c>
      <c r="X27" s="18">
        <f t="shared" si="16"/>
        <v>0.92784815216744077</v>
      </c>
      <c r="Y27" s="18"/>
      <c r="Z27" s="16"/>
      <c r="AA27" s="17">
        <f>GBDNZ!E27/($T27+$W27+$X27+U27+V27)</f>
        <v>54.69191509859813</v>
      </c>
      <c r="AB27" s="16">
        <f t="shared" si="17"/>
        <v>48.604133426364065</v>
      </c>
      <c r="AC27" s="16">
        <f t="shared" si="17"/>
        <v>50.705771710414254</v>
      </c>
      <c r="AD27" s="16">
        <f t="shared" si="17"/>
        <v>49.731589411890702</v>
      </c>
      <c r="AE27" s="16">
        <f t="shared" si="17"/>
        <v>50.745792362732828</v>
      </c>
      <c r="AF27" s="17">
        <f>GBDNZ!F27/($T27+$W27+$X27+U27+V27)</f>
        <v>357.12747245983843</v>
      </c>
      <c r="AG27" s="16">
        <f t="shared" si="18"/>
        <v>317.37545285012453</v>
      </c>
      <c r="AH27" s="16">
        <f t="shared" si="18"/>
        <v>331.09873840438945</v>
      </c>
      <c r="AI27" s="16">
        <f t="shared" si="18"/>
        <v>324.73751917555779</v>
      </c>
      <c r="AJ27" s="16">
        <f t="shared" si="18"/>
        <v>331.3600654100897</v>
      </c>
      <c r="AK27" s="17">
        <f>GBDNZ!G27/($T27+$W27+$X27+U27+V27)</f>
        <v>39.703920806528913</v>
      </c>
      <c r="AL27" s="16">
        <f t="shared" si="19"/>
        <v>35.284459521143887</v>
      </c>
      <c r="AM27" s="16">
        <f t="shared" si="19"/>
        <v>36.810156323741985</v>
      </c>
      <c r="AN27" s="16">
        <f t="shared" si="19"/>
        <v>36.102942894444958</v>
      </c>
      <c r="AO27" s="16">
        <f t="shared" si="19"/>
        <v>36.839209554140254</v>
      </c>
      <c r="AP27" s="16"/>
      <c r="AQ27" s="15"/>
      <c r="AR27" s="15"/>
      <c r="AS27" s="15"/>
    </row>
    <row r="28" spans="1:45" s="13" customFormat="1" ht="13" x14ac:dyDescent="0.3">
      <c r="A28" s="20">
        <v>0</v>
      </c>
      <c r="B28" s="20">
        <v>2</v>
      </c>
      <c r="C28" s="20" t="s">
        <v>2</v>
      </c>
      <c r="D28" s="17"/>
      <c r="E28" s="17"/>
      <c r="F28" s="17"/>
      <c r="G28" s="17"/>
      <c r="H28" s="17"/>
      <c r="I28" s="17"/>
      <c r="J28" s="17"/>
      <c r="K28" s="17"/>
      <c r="L28" s="17"/>
      <c r="M28" s="17"/>
      <c r="N28" s="19"/>
      <c r="O28" s="15"/>
      <c r="P28" s="15"/>
      <c r="Q28" s="15"/>
      <c r="R28" s="15"/>
      <c r="S28" s="15"/>
      <c r="T28" s="18"/>
      <c r="U28" s="18"/>
      <c r="V28" s="18"/>
      <c r="W28" s="18"/>
      <c r="X28" s="18"/>
      <c r="Y28" s="18"/>
      <c r="Z28" s="16"/>
      <c r="AA28" s="17"/>
      <c r="AB28" s="16"/>
      <c r="AC28" s="16"/>
      <c r="AD28" s="16"/>
      <c r="AE28" s="16"/>
      <c r="AF28" s="17"/>
      <c r="AG28" s="16"/>
      <c r="AH28" s="16"/>
      <c r="AI28" s="16"/>
      <c r="AJ28" s="16"/>
      <c r="AK28" s="17"/>
      <c r="AL28" s="16"/>
      <c r="AM28" s="16"/>
      <c r="AN28" s="16"/>
      <c r="AO28" s="16"/>
      <c r="AP28" s="16"/>
      <c r="AQ28" s="15"/>
      <c r="AR28" s="15"/>
      <c r="AS28" s="15"/>
    </row>
    <row r="29" spans="1:45" s="13" customFormat="1" ht="13" x14ac:dyDescent="0.3">
      <c r="A29" s="20">
        <v>0</v>
      </c>
      <c r="B29" s="20">
        <v>2</v>
      </c>
      <c r="C29" s="20" t="s">
        <v>40</v>
      </c>
      <c r="D29" s="17"/>
      <c r="E29" s="17"/>
      <c r="F29" s="17"/>
      <c r="G29" s="17"/>
      <c r="H29" s="17"/>
      <c r="I29" s="17"/>
      <c r="J29" s="17"/>
      <c r="K29" s="17"/>
      <c r="L29" s="17"/>
      <c r="M29" s="17"/>
      <c r="N29" s="19"/>
      <c r="O29" s="15"/>
      <c r="P29" s="15"/>
      <c r="Q29" s="15"/>
      <c r="R29" s="15"/>
      <c r="S29" s="15"/>
      <c r="T29" s="18"/>
      <c r="U29" s="18"/>
      <c r="V29" s="18"/>
      <c r="W29" s="18"/>
      <c r="X29" s="18"/>
      <c r="Y29" s="18"/>
      <c r="Z29" s="16"/>
      <c r="AA29" s="17"/>
      <c r="AB29" s="16"/>
      <c r="AC29" s="16"/>
      <c r="AD29" s="16"/>
      <c r="AE29" s="16"/>
      <c r="AF29" s="17"/>
      <c r="AG29" s="16"/>
      <c r="AH29" s="16"/>
      <c r="AI29" s="16"/>
      <c r="AJ29" s="16"/>
      <c r="AK29" s="17"/>
      <c r="AL29" s="16"/>
      <c r="AM29" s="16"/>
      <c r="AN29" s="16"/>
      <c r="AO29" s="16"/>
      <c r="AP29" s="16"/>
      <c r="AQ29" s="15"/>
      <c r="AR29" s="15"/>
      <c r="AS29" s="15"/>
    </row>
    <row r="30" spans="1:45" s="13" customFormat="1" ht="13" x14ac:dyDescent="0.3">
      <c r="A30" s="20">
        <v>0</v>
      </c>
      <c r="B30" s="20">
        <v>2</v>
      </c>
      <c r="C30" s="20" t="s">
        <v>39</v>
      </c>
      <c r="D30" s="17">
        <f>Baseline!AN29</f>
        <v>0.38786520725769708</v>
      </c>
      <c r="E30" s="17">
        <f>Baseline!AO29</f>
        <v>0.9235258544315782</v>
      </c>
      <c r="F30" s="17">
        <f>Baseline!AP29</f>
        <v>1.6842152273936337</v>
      </c>
      <c r="G30" s="17">
        <f>Baseline!AQ29</f>
        <v>3.0714688912856469</v>
      </c>
      <c r="H30" s="17">
        <f>Baseline!AR29</f>
        <v>7.3133162735578114</v>
      </c>
      <c r="I30" s="17">
        <f>IF((D30+'Non travel METs'!C30)&gt;2.5,(D30+'Non travel METs'!C30),0.1)</f>
        <v>9.2545318739243676</v>
      </c>
      <c r="J30" s="17">
        <f>IF((E30+'Non travel METs'!D30)&gt;2.5,(E30+'Non travel METs'!D30),0.1)</f>
        <v>25.523525854431579</v>
      </c>
      <c r="K30" s="17">
        <f>IF((F30+'Non travel METs'!E30)&gt;2.5,(F30+'Non travel METs'!E30),0.1)</f>
        <v>31.534215227393634</v>
      </c>
      <c r="L30" s="17">
        <f>IF((G30+'Non travel METs'!F30)&gt;2.5,(G30+'Non travel METs'!F30),0.1)</f>
        <v>33.471468891285646</v>
      </c>
      <c r="M30" s="17">
        <f>IF((H30+'Non travel METs'!G30)&gt;2.5,(H30+'Non travel METs'!G30),0.1)</f>
        <v>48.31331627355781</v>
      </c>
      <c r="N30" s="19">
        <f>'Phy activity RRs'!$F$4</f>
        <v>0.97288384048792509</v>
      </c>
      <c r="O30" s="15">
        <f>IF(('user page'!$R$36=0),$N30^(I30^0.25),IF(('user page'!$R$36=1),$N30^(I30^0.5),IF(('user page'!$R$36=2),$N30^(I30^0.375),IF(('user page'!$R$36=4),$N30^(I30),IF(('user page'!$R$36=3),$N30^(LN(1+I30)),"")))))</f>
        <v>0.91977166079695383</v>
      </c>
      <c r="P30" s="15">
        <f>IF(('user page'!$R$36=0),$N30^(J30^0.25),IF(('user page'!$R$36=1),$N30^(J30^0.5),IF(('user page'!$R$36=2),$N30^(J30^0.375),IF(('user page'!$R$36=4),$N30^(J30),IF(('user page'!$R$36=3),$N30^(LN(1+J30)),"")))))</f>
        <v>0.87032838857197403</v>
      </c>
      <c r="Q30" s="15">
        <f>IF(('user page'!$R$36=0),$N30^(K30^0.25),IF(('user page'!$R$36=1),$N30^(K30^0.5),IF(('user page'!$R$36=2),$N30^(K30^0.375),IF(('user page'!$R$36=4),$N30^(K30),IF(('user page'!$R$36=3),$N30^(LN(1+K30)),"")))))</f>
        <v>0.85695119740103143</v>
      </c>
      <c r="R30" s="15">
        <f>IF(('user page'!$R$36=0),$N30^(L30^0.25),IF(('user page'!$R$36=1),$N30^(L30^0.5),IF(('user page'!$R$36=2),$N30^(L30^0.375),IF(('user page'!$R$36=4),$N30^(L30),IF(('user page'!$R$36=3),$N30^(LN(1+L30)),"")))))</f>
        <v>0.85295754545255897</v>
      </c>
      <c r="S30" s="15">
        <f>IF(('user page'!$R$36=0),$N30^(M30^0.25),IF(('user page'!$R$36=1),$N30^(M30^0.5),IF(('user page'!$R$36=2),$N30^(M30^0.375),IF(('user page'!$R$36=4),$N30^(M30),IF(('user page'!$R$36=3),$N30^(LN(1+M30)),"")))))</f>
        <v>0.8260657000235081</v>
      </c>
      <c r="T30" s="18">
        <f t="shared" ref="T30:X35" si="20">O30/$O30</f>
        <v>1</v>
      </c>
      <c r="U30" s="18">
        <f t="shared" si="20"/>
        <v>0.946243970832784</v>
      </c>
      <c r="V30" s="18">
        <f t="shared" si="20"/>
        <v>0.93169993589333855</v>
      </c>
      <c r="W30" s="18">
        <f t="shared" si="20"/>
        <v>0.92735793219971308</v>
      </c>
      <c r="X30" s="18">
        <f t="shared" si="20"/>
        <v>0.89812040882815158</v>
      </c>
      <c r="Y30" s="18"/>
      <c r="Z30" s="16"/>
      <c r="AA30" s="17">
        <f>GBDNZ!E30/($T30+$W30+$X30+U30+V30)</f>
        <v>0.26961969238580891</v>
      </c>
      <c r="AB30" s="16">
        <f t="shared" ref="AB30:AE35" si="21">$AA30*U30</f>
        <v>0.25512600833786153</v>
      </c>
      <c r="AC30" s="16">
        <f t="shared" si="21"/>
        <v>0.25120465011143983</v>
      </c>
      <c r="AD30" s="16">
        <f t="shared" si="21"/>
        <v>0.2500339604112265</v>
      </c>
      <c r="AE30" s="16">
        <f t="shared" si="21"/>
        <v>0.24215094835366316</v>
      </c>
      <c r="AF30" s="17">
        <f>GBDNZ!F30/($T30+$W30+$X30+U30+V30)</f>
        <v>16.615931508960223</v>
      </c>
      <c r="AG30" s="16">
        <f t="shared" ref="AG30:AJ35" si="22">$AF30*U30</f>
        <v>15.722725010124094</v>
      </c>
      <c r="AH30" s="16">
        <f t="shared" si="22"/>
        <v>15.481062321706345</v>
      </c>
      <c r="AI30" s="16">
        <f t="shared" si="22"/>
        <v>15.408915885721411</v>
      </c>
      <c r="AJ30" s="16">
        <f t="shared" si="22"/>
        <v>14.923107199887921</v>
      </c>
      <c r="AK30" s="17">
        <f>GBDNZ!G30/($T30+$W30+$X30+U30+V30)</f>
        <v>0.46551218811909689</v>
      </c>
      <c r="AL30" s="16">
        <f t="shared" ref="AL30:AO35" si="23">U30*$AK30</f>
        <v>0.44048810135687216</v>
      </c>
      <c r="AM30" s="16">
        <f t="shared" si="23"/>
        <v>0.43371767582813031</v>
      </c>
      <c r="AN30" s="16">
        <f t="shared" si="23"/>
        <v>0.43169642018788951</v>
      </c>
      <c r="AO30" s="16">
        <f t="shared" si="23"/>
        <v>0.41808599670801072</v>
      </c>
      <c r="AP30" s="16"/>
      <c r="AQ30" s="15"/>
      <c r="AR30" s="15"/>
      <c r="AS30" s="15"/>
    </row>
    <row r="31" spans="1:45" s="13" customFormat="1" ht="13" x14ac:dyDescent="0.3">
      <c r="A31" s="20">
        <v>0</v>
      </c>
      <c r="B31" s="20">
        <v>2</v>
      </c>
      <c r="C31" s="20" t="s">
        <v>38</v>
      </c>
      <c r="D31" s="17">
        <f>Baseline!AN30</f>
        <v>0.32214184162495779</v>
      </c>
      <c r="E31" s="17">
        <f>Baseline!AO30</f>
        <v>0.76703533590520923</v>
      </c>
      <c r="F31" s="17">
        <f>Baseline!AP30</f>
        <v>1.3988266668242526</v>
      </c>
      <c r="G31" s="17">
        <f>Baseline!AQ30</f>
        <v>2.5510116056249852</v>
      </c>
      <c r="H31" s="17">
        <f>Baseline!AR30</f>
        <v>6.0740822550356066</v>
      </c>
      <c r="I31" s="17">
        <f>IF((D31+'Non travel METs'!C31)&gt;2.5,(D31+'Non travel METs'!C31),0.1)</f>
        <v>41.322141841624955</v>
      </c>
      <c r="J31" s="17">
        <f>IF((E31+'Non travel METs'!D31)&gt;2.5,(E31+'Non travel METs'!D31),0.1)</f>
        <v>36.642035335905206</v>
      </c>
      <c r="K31" s="17">
        <f>IF((F31+'Non travel METs'!E31)&gt;2.5,(F31+'Non travel METs'!E31),0.1)</f>
        <v>40.248826666824257</v>
      </c>
      <c r="L31" s="17">
        <f>IF((G31+'Non travel METs'!F31)&gt;2.5,(G31+'Non travel METs'!F31),0.1)</f>
        <v>43.551011605624986</v>
      </c>
      <c r="M31" s="17">
        <f>IF((H31+'Non travel METs'!G31)&gt;2.5,(H31+'Non travel METs'!G31),0.1)</f>
        <v>48.340748921702307</v>
      </c>
      <c r="N31" s="19">
        <f>'Phy activity RRs'!$F$4</f>
        <v>0.97288384048792509</v>
      </c>
      <c r="O31" s="15">
        <f>IF(('user page'!$R$36=0),$N31^(I31^0.25),IF(('user page'!$R$36=1),$N31^(I31^0.5),IF(('user page'!$R$36=2),$N31^(I31^0.375),IF(('user page'!$R$36=4),$N31^(I31),IF(('user page'!$R$36=3),$N31^(LN(1+I31)),"")))))</f>
        <v>0.83801790150754885</v>
      </c>
      <c r="P31" s="15">
        <f>IF(('user page'!$R$36=0),$N31^(J31^0.25),IF(('user page'!$R$36=1),$N31^(J31^0.5),IF(('user page'!$R$36=2),$N31^(J31^0.375),IF(('user page'!$R$36=4),$N31^(J31),IF(('user page'!$R$36=3),$N31^(LN(1+J31)),"")))))</f>
        <v>0.84670083850993205</v>
      </c>
      <c r="Q31" s="15">
        <f>IF(('user page'!$R$36=0),$N31^(K31^0.25),IF(('user page'!$R$36=1),$N31^(K31^0.5),IF(('user page'!$R$36=2),$N31^(K31^0.375),IF(('user page'!$R$36=4),$N31^(K31),IF(('user page'!$R$36=3),$N31^(LN(1+K31)),"")))))</f>
        <v>0.83995607613612544</v>
      </c>
      <c r="R31" s="15">
        <f>IF(('user page'!$R$36=0),$N31^(L31^0.25),IF(('user page'!$R$36=1),$N31^(L31^0.5),IF(('user page'!$R$36=2),$N31^(L31^0.375),IF(('user page'!$R$36=4),$N31^(L31),IF(('user page'!$R$36=3),$N31^(LN(1+L31)),"")))))</f>
        <v>0.83408567647237553</v>
      </c>
      <c r="S31" s="15">
        <f>IF(('user page'!$R$36=0),$N31^(M31^0.25),IF(('user page'!$R$36=1),$N31^(M31^0.5),IF(('user page'!$R$36=2),$N31^(M31^0.375),IF(('user page'!$R$36=4),$N31^(M31),IF(('user page'!$R$36=3),$N31^(LN(1+M31)),"")))))</f>
        <v>0.82602089471226114</v>
      </c>
      <c r="T31" s="18">
        <f t="shared" si="20"/>
        <v>1</v>
      </c>
      <c r="U31" s="18">
        <f t="shared" si="20"/>
        <v>1.0103612786633354</v>
      </c>
      <c r="V31" s="18">
        <f t="shared" si="20"/>
        <v>1.0023128081453749</v>
      </c>
      <c r="W31" s="18">
        <f t="shared" si="20"/>
        <v>0.99530770759419407</v>
      </c>
      <c r="X31" s="18">
        <f t="shared" si="20"/>
        <v>0.98568406859363533</v>
      </c>
      <c r="Y31" s="18"/>
      <c r="Z31" s="16"/>
      <c r="AA31" s="17">
        <f>GBDNZ!E31/($T31+$W31+$X31+U31+V31)</f>
        <v>2.6884096109994977</v>
      </c>
      <c r="AB31" s="16">
        <f t="shared" si="21"/>
        <v>2.7162649721402525</v>
      </c>
      <c r="AC31" s="16">
        <f t="shared" si="21"/>
        <v>2.6946273866459216</v>
      </c>
      <c r="AD31" s="16">
        <f t="shared" si="21"/>
        <v>2.675794806998109</v>
      </c>
      <c r="AE31" s="16">
        <f t="shared" si="21"/>
        <v>2.6499225234162176</v>
      </c>
      <c r="AF31" s="17">
        <f>GBDNZ!F31/($T31+$W31+$X31+U31+V31)</f>
        <v>127.15876757319997</v>
      </c>
      <c r="AG31" s="16">
        <f t="shared" si="22"/>
        <v>128.47629499851217</v>
      </c>
      <c r="AH31" s="16">
        <f t="shared" si="22"/>
        <v>127.4528614065991</v>
      </c>
      <c r="AI31" s="16">
        <f t="shared" si="22"/>
        <v>126.56210145378459</v>
      </c>
      <c r="AJ31" s="16">
        <f t="shared" si="22"/>
        <v>125.33837137890417</v>
      </c>
      <c r="AK31" s="17">
        <f>GBDNZ!G31/($T31+$W31+$X31+U31+V31)</f>
        <v>4.5015628964431524</v>
      </c>
      <c r="AL31" s="16">
        <f t="shared" si="23"/>
        <v>4.548204844033731</v>
      </c>
      <c r="AM31" s="16">
        <f t="shared" si="23"/>
        <v>4.5119741477769635</v>
      </c>
      <c r="AN31" s="16">
        <f t="shared" si="23"/>
        <v>4.4804402470499145</v>
      </c>
      <c r="AO31" s="16">
        <f t="shared" si="23"/>
        <v>4.4371188307962361</v>
      </c>
      <c r="AP31" s="16"/>
      <c r="AQ31" s="15"/>
      <c r="AR31" s="15"/>
      <c r="AS31" s="15"/>
    </row>
    <row r="32" spans="1:45" s="13" customFormat="1" ht="13" x14ac:dyDescent="0.3">
      <c r="A32" s="20">
        <v>0</v>
      </c>
      <c r="B32" s="20">
        <v>2</v>
      </c>
      <c r="C32" s="20" t="s">
        <v>37</v>
      </c>
      <c r="D32" s="17">
        <f>Baseline!AN31</f>
        <v>0.46307739299727485</v>
      </c>
      <c r="E32" s="17">
        <f>Baseline!AO31</f>
        <v>1.1026097134606268</v>
      </c>
      <c r="F32" s="17">
        <f>Baseline!AP31</f>
        <v>2.0108068013163582</v>
      </c>
      <c r="G32" s="17">
        <f>Baseline!AQ31</f>
        <v>3.6670672703669323</v>
      </c>
      <c r="H32" s="17">
        <f>Baseline!AR31</f>
        <v>8.7314648768524989</v>
      </c>
      <c r="I32" s="17">
        <f>IF((D32+'Non travel METs'!C32)&gt;2.5,(D32+'Non travel METs'!C32),0.1)</f>
        <v>42.113077392997276</v>
      </c>
      <c r="J32" s="17">
        <f>IF((E32+'Non travel METs'!D32)&gt;2.5,(E32+'Non travel METs'!D32),0.1)</f>
        <v>44.15260971346062</v>
      </c>
      <c r="K32" s="17">
        <f>IF((F32+'Non travel METs'!E32)&gt;2.5,(F32+'Non travel METs'!E32),0.1)</f>
        <v>48.077473467983054</v>
      </c>
      <c r="L32" s="17">
        <f>IF((G32+'Non travel METs'!F32)&gt;2.5,(G32+'Non travel METs'!F32),0.1)</f>
        <v>44.667067270366935</v>
      </c>
      <c r="M32" s="17">
        <f>IF((H32+'Non travel METs'!G32)&gt;2.5,(H32+'Non travel METs'!G32),0.1)</f>
        <v>49.731464876852499</v>
      </c>
      <c r="N32" s="19">
        <f>'Phy activity RRs'!$F$4</f>
        <v>0.97288384048792509</v>
      </c>
      <c r="O32" s="15">
        <f>IF(('user page'!$R$36=0),$N32^(I32^0.25),IF(('user page'!$R$36=1),$N32^(I32^0.5),IF(('user page'!$R$36=2),$N32^(I32^0.375),IF(('user page'!$R$36=4),$N32^(I32),IF(('user page'!$R$36=3),$N32^(LN(1+I32)),"")))))</f>
        <v>0.8366085214474277</v>
      </c>
      <c r="P32" s="15">
        <f>IF(('user page'!$R$36=0),$N32^(J32^0.25),IF(('user page'!$R$36=1),$N32^(J32^0.5),IF(('user page'!$R$36=2),$N32^(J32^0.375),IF(('user page'!$R$36=4),$N32^(J32),IF(('user page'!$R$36=3),$N32^(LN(1+J32)),"")))))</f>
        <v>0.83304477697786106</v>
      </c>
      <c r="Q32" s="15">
        <f>IF(('user page'!$R$36=0),$N32^(K32^0.25),IF(('user page'!$R$36=1),$N32^(K32^0.5),IF(('user page'!$R$36=2),$N32^(K32^0.375),IF(('user page'!$R$36=4),$N32^(K32),IF(('user page'!$R$36=3),$N32^(LN(1+K32)),"")))))</f>
        <v>0.82645152486962603</v>
      </c>
      <c r="R32" s="15">
        <f>IF(('user page'!$R$36=0),$N32^(L32^0.25),IF(('user page'!$R$36=1),$N32^(L32^0.5),IF(('user page'!$R$36=2),$N32^(L32^0.375),IF(('user page'!$R$36=4),$N32^(L32),IF(('user page'!$R$36=3),$N32^(LN(1+L32)),"")))))</f>
        <v>0.83216128271093925</v>
      </c>
      <c r="S32" s="15">
        <f>IF(('user page'!$R$36=0),$N32^(M32^0.25),IF(('user page'!$R$36=1),$N32^(M32^0.5),IF(('user page'!$R$36=2),$N32^(M32^0.375),IF(('user page'!$R$36=4),$N32^(M32),IF(('user page'!$R$36=3),$N32^(LN(1+M32)),"")))))</f>
        <v>0.82376902242363781</v>
      </c>
      <c r="T32" s="18">
        <f t="shared" si="20"/>
        <v>1</v>
      </c>
      <c r="U32" s="18">
        <f t="shared" si="20"/>
        <v>0.99574024842180553</v>
      </c>
      <c r="V32" s="18">
        <f t="shared" si="20"/>
        <v>0.98785931972073515</v>
      </c>
      <c r="W32" s="18">
        <f t="shared" si="20"/>
        <v>0.99468420578744021</v>
      </c>
      <c r="X32" s="18">
        <f t="shared" si="20"/>
        <v>0.98465291866549953</v>
      </c>
      <c r="Y32" s="18"/>
      <c r="Z32" s="16"/>
      <c r="AA32" s="17">
        <f>GBDNZ!E32/($T32+$W32+$X32+U32+V32)</f>
        <v>15.789383801512679</v>
      </c>
      <c r="AB32" s="16">
        <f t="shared" si="21"/>
        <v>15.722124948945467</v>
      </c>
      <c r="AC32" s="16">
        <f t="shared" si="21"/>
        <v>15.597689940971911</v>
      </c>
      <c r="AD32" s="16">
        <f t="shared" si="21"/>
        <v>15.705450686480713</v>
      </c>
      <c r="AE32" s="16">
        <f t="shared" si="21"/>
        <v>15.54706284408922</v>
      </c>
      <c r="AF32" s="17">
        <f>GBDNZ!F32/($T32+$W32+$X32+U32+V32)</f>
        <v>535.34871769249048</v>
      </c>
      <c r="AG32" s="16">
        <f t="shared" si="22"/>
        <v>533.06826514741556</v>
      </c>
      <c r="AH32" s="16">
        <f t="shared" si="22"/>
        <v>528.84922007307159</v>
      </c>
      <c r="AI32" s="16">
        <f t="shared" si="22"/>
        <v>532.50291407727946</v>
      </c>
      <c r="AJ32" s="16">
        <f t="shared" si="22"/>
        <v>527.13267737974331</v>
      </c>
      <c r="AK32" s="17">
        <f>GBDNZ!G32/($T32+$W32+$X32+U32+V32)</f>
        <v>23.516189687070984</v>
      </c>
      <c r="AL32" s="16">
        <f t="shared" si="23"/>
        <v>23.416016560938363</v>
      </c>
      <c r="AM32" s="16">
        <f t="shared" si="23"/>
        <v>23.230687146693711</v>
      </c>
      <c r="AN32" s="16">
        <f t="shared" si="23"/>
        <v>23.391182462030994</v>
      </c>
      <c r="AO32" s="16">
        <f t="shared" si="23"/>
        <v>23.155284811265965</v>
      </c>
      <c r="AP32" s="16"/>
      <c r="AQ32" s="15"/>
      <c r="AR32" s="15"/>
      <c r="AS32" s="15"/>
    </row>
    <row r="33" spans="1:45" s="13" customFormat="1" ht="13" x14ac:dyDescent="0.3">
      <c r="A33" s="20">
        <v>0</v>
      </c>
      <c r="B33" s="20">
        <v>2</v>
      </c>
      <c r="C33" s="20" t="s">
        <v>36</v>
      </c>
      <c r="D33" s="17">
        <f>Baseline!AN32</f>
        <v>0.35634958562049185</v>
      </c>
      <c r="E33" s="17">
        <f>Baseline!AO32</f>
        <v>0.8484856320661196</v>
      </c>
      <c r="F33" s="17">
        <f>Baseline!AP32</f>
        <v>1.5473659074006401</v>
      </c>
      <c r="G33" s="17">
        <f>Baseline!AQ32</f>
        <v>2.8218995830906697</v>
      </c>
      <c r="H33" s="17">
        <f>Baseline!AR32</f>
        <v>6.7190796566149293</v>
      </c>
      <c r="I33" s="17">
        <f>IF((D33+'Non travel METs'!C33)&gt;2.5,(D33+'Non travel METs'!C33),0.1)</f>
        <v>33.15634958562049</v>
      </c>
      <c r="J33" s="17">
        <f>IF((E33+'Non travel METs'!D33)&gt;2.5,(E33+'Non travel METs'!D33),0.1)</f>
        <v>18.848485632066119</v>
      </c>
      <c r="K33" s="17">
        <f>IF((F33+'Non travel METs'!E33)&gt;2.5,(F33+'Non travel METs'!E33),0.1)</f>
        <v>33.297365907400639</v>
      </c>
      <c r="L33" s="17">
        <f>IF((G33+'Non travel METs'!F33)&gt;2.5,(G33+'Non travel METs'!F33),0.1)</f>
        <v>23.321899583090669</v>
      </c>
      <c r="M33" s="17">
        <f>IF((H33+'Non travel METs'!G33)&gt;2.5,(H33+'Non travel METs'!G33),0.1)</f>
        <v>11.21907965661493</v>
      </c>
      <c r="N33" s="19">
        <f>'Phy activity RRs'!$F$4</f>
        <v>0.97288384048792509</v>
      </c>
      <c r="O33" s="15">
        <f>IF(('user page'!$R$36=0),$N33^(I33^0.25),IF(('user page'!$R$36=1),$N33^(I33^0.5),IF(('user page'!$R$36=2),$N33^(I33^0.375),IF(('user page'!$R$36=4),$N33^(I33),IF(('user page'!$R$36=3),$N33^(LN(1+I33)),"")))))</f>
        <v>0.85359788131034364</v>
      </c>
      <c r="P33" s="15">
        <f>IF(('user page'!$R$36=0),$N33^(J33^0.25),IF(('user page'!$R$36=1),$N33^(J33^0.5),IF(('user page'!$R$36=2),$N33^(J33^0.375),IF(('user page'!$R$36=4),$N33^(J33),IF(('user page'!$R$36=3),$N33^(LN(1+J33)),"")))))</f>
        <v>0.88749716683748781</v>
      </c>
      <c r="Q33" s="15">
        <f>IF(('user page'!$R$36=0),$N33^(K33^0.25),IF(('user page'!$R$36=1),$N33^(K33^0.5),IF(('user page'!$R$36=2),$N33^(K33^0.375),IF(('user page'!$R$36=4),$N33^(K33),IF(('user page'!$R$36=3),$N33^(LN(1+K33)),"")))))</f>
        <v>0.85331089623165646</v>
      </c>
      <c r="R33" s="15">
        <f>IF(('user page'!$R$36=0),$N33^(L33^0.25),IF(('user page'!$R$36=1),$N33^(L33^0.5),IF(('user page'!$R$36=2),$N33^(L33^0.375),IF(('user page'!$R$36=4),$N33^(L33),IF(('user page'!$R$36=3),$N33^(LN(1+L33)),"")))))</f>
        <v>0.87567556983647965</v>
      </c>
      <c r="S33" s="15">
        <f>IF(('user page'!$R$36=0),$N33^(M33^0.25),IF(('user page'!$R$36=1),$N33^(M33^0.5),IF(('user page'!$R$36=2),$N33^(M33^0.375),IF(('user page'!$R$36=4),$N33^(M33),IF(('user page'!$R$36=3),$N33^(LN(1+M33)),"")))))</f>
        <v>0.91203270327298536</v>
      </c>
      <c r="T33" s="18">
        <f t="shared" si="20"/>
        <v>1</v>
      </c>
      <c r="U33" s="18">
        <f t="shared" si="20"/>
        <v>1.0397134133874675</v>
      </c>
      <c r="V33" s="18">
        <f t="shared" si="20"/>
        <v>0.99966379359066981</v>
      </c>
      <c r="W33" s="18">
        <f t="shared" si="20"/>
        <v>1.0258642728731295</v>
      </c>
      <c r="X33" s="18">
        <f t="shared" si="20"/>
        <v>1.0684570841166328</v>
      </c>
      <c r="Y33" s="18"/>
      <c r="Z33" s="16"/>
      <c r="AA33" s="17">
        <f>GBDNZ!E33/($T33+$W33+$X33+U33+V33)</f>
        <v>28.914204494755406</v>
      </c>
      <c r="AB33" s="16">
        <f t="shared" si="21"/>
        <v>30.062486250625398</v>
      </c>
      <c r="AC33" s="16">
        <f t="shared" si="21"/>
        <v>28.904483353883585</v>
      </c>
      <c r="AD33" s="16">
        <f t="shared" si="21"/>
        <v>29.662049369717227</v>
      </c>
      <c r="AE33" s="16">
        <f t="shared" si="21"/>
        <v>30.893586624018397</v>
      </c>
      <c r="AF33" s="17">
        <f>GBDNZ!F33/($T33+$W33+$X33+U33+V33)</f>
        <v>680.47957336628758</v>
      </c>
      <c r="AG33" s="16">
        <f t="shared" si="22"/>
        <v>707.50373996511041</v>
      </c>
      <c r="AH33" s="16">
        <f t="shared" si="22"/>
        <v>680.25079177230361</v>
      </c>
      <c r="AI33" s="16">
        <f t="shared" si="22"/>
        <v>698.07968273642405</v>
      </c>
      <c r="AJ33" s="16">
        <f t="shared" si="22"/>
        <v>727.06322075987396</v>
      </c>
      <c r="AK33" s="17">
        <f>GBDNZ!G33/($T33+$W33+$X33+U33+V33)</f>
        <v>37.052821397051041</v>
      </c>
      <c r="AL33" s="16">
        <f t="shared" si="23"/>
        <v>38.524315410364132</v>
      </c>
      <c r="AM33" s="16">
        <f t="shared" si="23"/>
        <v>37.040364001013586</v>
      </c>
      <c r="AN33" s="16">
        <f t="shared" si="23"/>
        <v>38.011165680383705</v>
      </c>
      <c r="AO33" s="16">
        <f t="shared" si="23"/>
        <v>39.589349508187532</v>
      </c>
      <c r="AP33" s="16"/>
      <c r="AQ33" s="15"/>
      <c r="AR33" s="15"/>
      <c r="AS33" s="15"/>
    </row>
    <row r="34" spans="1:45" s="13" customFormat="1" ht="13" x14ac:dyDescent="0.3">
      <c r="A34" s="20">
        <v>0</v>
      </c>
      <c r="B34" s="20">
        <v>2</v>
      </c>
      <c r="C34" s="20" t="s">
        <v>35</v>
      </c>
      <c r="D34" s="17">
        <f>Baseline!AN33</f>
        <v>0.30903559868571595</v>
      </c>
      <c r="E34" s="17">
        <f>Baseline!AO33</f>
        <v>0.73582873633823809</v>
      </c>
      <c r="F34" s="17">
        <f>Baseline!AP33</f>
        <v>1.3419158289374042</v>
      </c>
      <c r="G34" s="17">
        <f>Baseline!AQ33</f>
        <v>2.4472244736104138</v>
      </c>
      <c r="H34" s="17">
        <f>Baseline!AR33</f>
        <v>5.8269600641836821</v>
      </c>
      <c r="I34" s="17">
        <f>IF((D34+'Non travel METs'!C34)&gt;2.5,(D34+'Non travel METs'!C34),0.1)</f>
        <v>6.1423689320190462</v>
      </c>
      <c r="J34" s="17">
        <f>IF((E34+'Non travel METs'!D34)&gt;2.5,(E34+'Non travel METs'!D34),0.1)</f>
        <v>5.7358287363382381</v>
      </c>
      <c r="K34" s="17">
        <f>IF((F34+'Non travel METs'!E34)&gt;2.5,(F34+'Non travel METs'!E34),0.1)</f>
        <v>3.8419158289374042</v>
      </c>
      <c r="L34" s="17">
        <f>IF((G34+'Non travel METs'!F34)&gt;2.5,(G34+'Non travel METs'!F34),0.1)</f>
        <v>6.1972244736104134</v>
      </c>
      <c r="M34" s="17">
        <f>IF((H34+'Non travel METs'!G34)&gt;2.5,(H34+'Non travel METs'!G34),0.1)</f>
        <v>5.8269600641836821</v>
      </c>
      <c r="N34" s="19">
        <f>'Phy activity RRs'!$F$4</f>
        <v>0.97288384048792509</v>
      </c>
      <c r="O34" s="15">
        <f>IF(('user page'!$R$36=0),$N34^(I34^0.25),IF(('user page'!$R$36=1),$N34^(I34^0.5),IF(('user page'!$R$36=2),$N34^(I34^0.375),IF(('user page'!$R$36=4),$N34^(I34),IF(('user page'!$R$36=3),$N34^(LN(1+I34)),"")))))</f>
        <v>0.93413703901214595</v>
      </c>
      <c r="P34" s="15">
        <f>IF(('user page'!$R$36=0),$N34^(J34^0.25),IF(('user page'!$R$36=1),$N34^(J34^0.5),IF(('user page'!$R$36=2),$N34^(J34^0.375),IF(('user page'!$R$36=4),$N34^(J34),IF(('user page'!$R$36=3),$N34^(LN(1+J34)),"")))))</f>
        <v>0.93628175367329425</v>
      </c>
      <c r="Q34" s="15">
        <f>IF(('user page'!$R$36=0),$N34^(K34^0.25),IF(('user page'!$R$36=1),$N34^(K34^0.5),IF(('user page'!$R$36=2),$N34^(K34^0.375),IF(('user page'!$R$36=4),$N34^(K34),IF(('user page'!$R$36=3),$N34^(LN(1+K34)),"")))))</f>
        <v>0.94754223776263424</v>
      </c>
      <c r="R34" s="15">
        <f>IF(('user page'!$R$36=0),$N34^(L34^0.25),IF(('user page'!$R$36=1),$N34^(L34^0.5),IF(('user page'!$R$36=2),$N34^(L34^0.375),IF(('user page'!$R$36=4),$N34^(L34),IF(('user page'!$R$36=3),$N34^(LN(1+L34)),"")))))</f>
        <v>0.93385351826504115</v>
      </c>
      <c r="S34" s="15">
        <f>IF(('user page'!$R$36=0),$N34^(M34^0.25),IF(('user page'!$R$36=1),$N34^(M34^0.5),IF(('user page'!$R$36=2),$N34^(M34^0.375),IF(('user page'!$R$36=4),$N34^(M34),IF(('user page'!$R$36=3),$N34^(LN(1+M34)),"")))))</f>
        <v>0.93579411041497129</v>
      </c>
      <c r="T34" s="18">
        <f t="shared" si="20"/>
        <v>1</v>
      </c>
      <c r="U34" s="18">
        <f t="shared" si="20"/>
        <v>1.0022959315085251</v>
      </c>
      <c r="V34" s="18">
        <f t="shared" si="20"/>
        <v>1.0143503556658715</v>
      </c>
      <c r="W34" s="18">
        <f t="shared" si="20"/>
        <v>0.99969648912818554</v>
      </c>
      <c r="X34" s="18">
        <f t="shared" si="20"/>
        <v>1.0017739061118673</v>
      </c>
      <c r="Y34" s="18"/>
      <c r="Z34" s="16"/>
      <c r="AA34" s="17">
        <f>GBDNZ!E34/($T34+$W34+$X34+U34+V34)</f>
        <v>35.958814708784182</v>
      </c>
      <c r="AB34" s="16">
        <f t="shared" si="21"/>
        <v>36.041373684483297</v>
      </c>
      <c r="AC34" s="16">
        <f t="shared" si="21"/>
        <v>36.474836489178408</v>
      </c>
      <c r="AD34" s="16">
        <f t="shared" si="21"/>
        <v>35.947900817582507</v>
      </c>
      <c r="AE34" s="16">
        <f t="shared" si="21"/>
        <v>36.0226022699716</v>
      </c>
      <c r="AF34" s="17">
        <f>GBDNZ!F34/($T34+$W34+$X34+U34+V34)</f>
        <v>546.17228814243003</v>
      </c>
      <c r="AG34" s="16">
        <f t="shared" si="22"/>
        <v>547.42626230785947</v>
      </c>
      <c r="AH34" s="16">
        <f t="shared" si="22"/>
        <v>554.01005473211671</v>
      </c>
      <c r="AI34" s="16">
        <f t="shared" si="22"/>
        <v>546.00651891509506</v>
      </c>
      <c r="AJ34" s="16">
        <f t="shared" si="22"/>
        <v>547.14114650249849</v>
      </c>
      <c r="AK34" s="17">
        <f>GBDNZ!G34/($T34+$W34+$X34+U34+V34)</f>
        <v>39.562736560856088</v>
      </c>
      <c r="AL34" s="16">
        <f t="shared" si="23"/>
        <v>39.653569894289639</v>
      </c>
      <c r="AM34" s="16">
        <f t="shared" si="23"/>
        <v>40.130475901619548</v>
      </c>
      <c r="AN34" s="16">
        <f t="shared" si="23"/>
        <v>39.550728840191134</v>
      </c>
      <c r="AO34" s="16">
        <f t="shared" si="23"/>
        <v>39.632917141043585</v>
      </c>
      <c r="AP34" s="16"/>
      <c r="AQ34" s="15"/>
      <c r="AR34" s="15"/>
      <c r="AS34" s="15"/>
    </row>
    <row r="35" spans="1:45" s="13" customFormat="1" ht="13" x14ac:dyDescent="0.3">
      <c r="A35" s="20">
        <v>0</v>
      </c>
      <c r="B35" s="20">
        <v>2</v>
      </c>
      <c r="C35" s="20" t="s">
        <v>34</v>
      </c>
      <c r="D35" s="17">
        <f>Baseline!AN34</f>
        <v>0.18233554535978089</v>
      </c>
      <c r="E35" s="17">
        <f>Baseline!AO34</f>
        <v>0.43414976948360384</v>
      </c>
      <c r="F35" s="17">
        <f>Baseline!AP34</f>
        <v>0.79175006224787237</v>
      </c>
      <c r="G35" s="17">
        <f>Baseline!AQ34</f>
        <v>1.4438984081809676</v>
      </c>
      <c r="H35" s="17">
        <f>Baseline!AR34</f>
        <v>3.4379920812071276</v>
      </c>
      <c r="I35" s="17">
        <f>IF((D35+'Non travel METs'!C35)&gt;2.5,(D35+'Non travel METs'!C35),0.1)</f>
        <v>6.6823355453597806</v>
      </c>
      <c r="J35" s="17">
        <f>IF((E35+'Non travel METs'!D35)&gt;2.5,(E35+'Non travel METs'!D35),0.1)</f>
        <v>3.5591497694836036</v>
      </c>
      <c r="K35" s="17">
        <f>IF((F35+'Non travel METs'!E35)&gt;2.5,(F35+'Non travel METs'!E35),0.1)</f>
        <v>0.1</v>
      </c>
      <c r="L35" s="17">
        <f>IF((G35+'Non travel METs'!F35)&gt;2.5,(G35+'Non travel METs'!F35),0.1)</f>
        <v>0.1</v>
      </c>
      <c r="M35" s="17">
        <f>IF((H35+'Non travel METs'!G35)&gt;2.5,(H35+'Non travel METs'!G35),0.1)</f>
        <v>3.4379920812071276</v>
      </c>
      <c r="N35" s="19">
        <f>'Phy activity RRs'!$F$4</f>
        <v>0.97288384048792509</v>
      </c>
      <c r="O35" s="15">
        <f>IF(('user page'!$R$36=0),$N35^(I35^0.25),IF(('user page'!$R$36=1),$N35^(I35^0.5),IF(('user page'!$R$36=2),$N35^(I35^0.375),IF(('user page'!$R$36=4),$N35^(I35),IF(('user page'!$R$36=3),$N35^(LN(1+I35)),"")))))</f>
        <v>0.93140250903212773</v>
      </c>
      <c r="P35" s="15">
        <f>IF(('user page'!$R$36=0),$N35^(J35^0.25),IF(('user page'!$R$36=1),$N35^(J35^0.5),IF(('user page'!$R$36=2),$N35^(J35^0.375),IF(('user page'!$R$36=4),$N35^(J35),IF(('user page'!$R$36=3),$N35^(LN(1+J35)),"")))))</f>
        <v>0.94945898973827281</v>
      </c>
      <c r="Q35" s="15">
        <f>IF(('user page'!$R$36=0),$N35^(K35^0.25),IF(('user page'!$R$36=1),$N35^(K35^0.5),IF(('user page'!$R$36=2),$N35^(K35^0.375),IF(('user page'!$R$36=4),$N35^(K35),IF(('user page'!$R$36=3),$N35^(LN(1+K35)),"")))))</f>
        <v>0.99134439051762713</v>
      </c>
      <c r="R35" s="15">
        <f>IF(('user page'!$R$36=0),$N35^(L35^0.25),IF(('user page'!$R$36=1),$N35^(L35^0.5),IF(('user page'!$R$36=2),$N35^(L35^0.375),IF(('user page'!$R$36=4),$N35^(L35),IF(('user page'!$R$36=3),$N35^(LN(1+L35)),"")))))</f>
        <v>0.99134439051762713</v>
      </c>
      <c r="S35" s="15">
        <f>IF(('user page'!$R$36=0),$N35^(M35^0.25),IF(('user page'!$R$36=1),$N35^(M35^0.5),IF(('user page'!$R$36=2),$N35^(M35^0.375),IF(('user page'!$R$36=4),$N35^(M35),IF(('user page'!$R$36=3),$N35^(LN(1+M35)),"")))))</f>
        <v>0.95030474653801811</v>
      </c>
      <c r="T35" s="18">
        <f t="shared" si="20"/>
        <v>1</v>
      </c>
      <c r="U35" s="18">
        <f t="shared" si="20"/>
        <v>1.019386334620151</v>
      </c>
      <c r="V35" s="18">
        <f t="shared" si="20"/>
        <v>1.0643565815039391</v>
      </c>
      <c r="W35" s="18">
        <f t="shared" si="20"/>
        <v>1.0643565815039391</v>
      </c>
      <c r="X35" s="18">
        <f t="shared" si="20"/>
        <v>1.0202943811323129</v>
      </c>
      <c r="Y35" s="18"/>
      <c r="Z35" s="16"/>
      <c r="AA35" s="17">
        <f>GBDNZ!E35/($T35+$W35+$X35+U35+V35)</f>
        <v>65.025371204992055</v>
      </c>
      <c r="AB35" s="16">
        <f t="shared" si="21"/>
        <v>66.285974809971563</v>
      </c>
      <c r="AC35" s="16">
        <f t="shared" si="21"/>
        <v>69.210181806770024</v>
      </c>
      <c r="AD35" s="16">
        <f t="shared" si="21"/>
        <v>69.210181806770024</v>
      </c>
      <c r="AE35" s="16">
        <f t="shared" si="21"/>
        <v>66.345020871496288</v>
      </c>
      <c r="AF35" s="17">
        <f>GBDNZ!F35/($T35+$W35+$X35+U35+V35)</f>
        <v>371.32482434955506</v>
      </c>
      <c r="AG35" s="16">
        <f t="shared" si="22"/>
        <v>378.52345164716434</v>
      </c>
      <c r="AH35" s="16">
        <f t="shared" si="22"/>
        <v>395.22202067224305</v>
      </c>
      <c r="AI35" s="16">
        <f t="shared" si="22"/>
        <v>395.22202067224305</v>
      </c>
      <c r="AJ35" s="16">
        <f t="shared" si="22"/>
        <v>378.86063185879408</v>
      </c>
      <c r="AK35" s="17">
        <f>GBDNZ!G35/($T35+$W35+$X35+U35+V35)</f>
        <v>42.691811312361359</v>
      </c>
      <c r="AL35" s="16">
        <f t="shared" si="23"/>
        <v>43.519449052003147</v>
      </c>
      <c r="AM35" s="16">
        <f t="shared" si="23"/>
        <v>45.439310346636134</v>
      </c>
      <c r="AN35" s="16">
        <f t="shared" si="23"/>
        <v>45.439310346636134</v>
      </c>
      <c r="AO35" s="16">
        <f t="shared" si="23"/>
        <v>43.558215202363208</v>
      </c>
      <c r="AP35" s="16"/>
      <c r="AQ35" s="15"/>
      <c r="AR35" s="15"/>
      <c r="AS35" s="15"/>
    </row>
  </sheetData>
  <mergeCells count="8">
    <mergeCell ref="AF1:AJ1"/>
    <mergeCell ref="AK1:AO1"/>
    <mergeCell ref="AP1:AS1"/>
    <mergeCell ref="D1:H1"/>
    <mergeCell ref="I1:M1"/>
    <mergeCell ref="O1:S1"/>
    <mergeCell ref="T1:X1"/>
    <mergeCell ref="AA1:AE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workbookViewId="0"/>
  </sheetViews>
  <sheetFormatPr defaultColWidth="9.1796875" defaultRowHeight="12" x14ac:dyDescent="0.3"/>
  <cols>
    <col min="1" max="2" width="3.81640625" style="257" bestFit="1" customWidth="1"/>
    <col min="3" max="3" width="6" style="257" bestFit="1" customWidth="1"/>
    <col min="4" max="4" width="2" style="257" bestFit="1" customWidth="1"/>
    <col min="5" max="12" width="3" style="257" bestFit="1" customWidth="1"/>
    <col min="13" max="13" width="4" style="257" bestFit="1" customWidth="1"/>
    <col min="14" max="14" width="4.7265625" style="257" bestFit="1" customWidth="1"/>
    <col min="15" max="25" width="3.453125" style="257" bestFit="1" customWidth="1"/>
    <col min="26" max="26" width="8" style="386" bestFit="1" customWidth="1"/>
    <col min="27" max="31" width="4" style="257" bestFit="1" customWidth="1"/>
    <col min="32" max="36" width="5" style="257" bestFit="1" customWidth="1"/>
    <col min="37" max="41" width="5" style="386" bestFit="1" customWidth="1"/>
    <col min="42" max="42" width="6.7265625" style="385" bestFit="1" customWidth="1"/>
    <col min="43" max="44" width="5.453125" style="257" bestFit="1" customWidth="1"/>
    <col min="45" max="45" width="6.26953125" style="257" bestFit="1" customWidth="1"/>
    <col min="46" max="46" width="5.1796875" style="257" customWidth="1"/>
    <col min="47" max="47" width="5.453125" style="257" customWidth="1"/>
    <col min="48" max="48" width="4.453125" style="257" customWidth="1"/>
    <col min="49" max="49" width="6" style="257" customWidth="1"/>
    <col min="50" max="16384" width="9.1796875" style="257"/>
  </cols>
  <sheetData>
    <row r="1" spans="1:50" ht="46.5" customHeight="1" x14ac:dyDescent="0.3">
      <c r="A1" s="364"/>
      <c r="B1" s="364"/>
      <c r="C1" s="364"/>
      <c r="D1" s="1069" t="s">
        <v>56</v>
      </c>
      <c r="E1" s="1069"/>
      <c r="F1" s="1069"/>
      <c r="G1" s="1069"/>
      <c r="H1" s="1069"/>
      <c r="I1" s="1069" t="s">
        <v>55</v>
      </c>
      <c r="J1" s="1069"/>
      <c r="K1" s="1069"/>
      <c r="L1" s="1069"/>
      <c r="M1" s="1069"/>
      <c r="N1" s="365"/>
      <c r="O1" s="1069" t="s">
        <v>54</v>
      </c>
      <c r="P1" s="1069"/>
      <c r="Q1" s="1069"/>
      <c r="R1" s="1069"/>
      <c r="S1" s="1069"/>
      <c r="T1" s="1069" t="s">
        <v>52</v>
      </c>
      <c r="U1" s="1069"/>
      <c r="V1" s="1069"/>
      <c r="W1" s="1069"/>
      <c r="X1" s="1069"/>
      <c r="Y1" s="366" t="s">
        <v>74</v>
      </c>
      <c r="Z1" s="367" t="s">
        <v>73</v>
      </c>
      <c r="AA1" s="1069" t="s">
        <v>51</v>
      </c>
      <c r="AB1" s="1069"/>
      <c r="AC1" s="1069"/>
      <c r="AD1" s="1069"/>
      <c r="AE1" s="1069"/>
      <c r="AF1" s="1069" t="s">
        <v>50</v>
      </c>
      <c r="AG1" s="1069"/>
      <c r="AH1" s="1069"/>
      <c r="AI1" s="1069"/>
      <c r="AJ1" s="1069"/>
      <c r="AK1" s="1070" t="s">
        <v>49</v>
      </c>
      <c r="AL1" s="1070"/>
      <c r="AM1" s="1070"/>
      <c r="AN1" s="1070"/>
      <c r="AO1" s="1070"/>
      <c r="AP1" s="1071" t="s">
        <v>48</v>
      </c>
      <c r="AQ1" s="1071"/>
      <c r="AR1" s="1071"/>
      <c r="AS1" s="1071"/>
      <c r="AT1" s="371"/>
      <c r="AU1" s="371"/>
      <c r="AV1" s="371"/>
      <c r="AW1" s="371"/>
      <c r="AX1" s="371"/>
    </row>
    <row r="2" spans="1:50" s="371" customFormat="1" ht="29.15" customHeight="1" x14ac:dyDescent="0.3">
      <c r="A2" s="365" t="s">
        <v>47</v>
      </c>
      <c r="B2" s="365" t="s">
        <v>46</v>
      </c>
      <c r="C2" s="365" t="s">
        <v>45</v>
      </c>
      <c r="D2" s="366">
        <v>1</v>
      </c>
      <c r="E2" s="366">
        <v>2</v>
      </c>
      <c r="F2" s="366">
        <v>3</v>
      </c>
      <c r="G2" s="366">
        <v>4</v>
      </c>
      <c r="H2" s="366">
        <v>5</v>
      </c>
      <c r="I2" s="366">
        <v>1</v>
      </c>
      <c r="J2" s="366">
        <v>2</v>
      </c>
      <c r="K2" s="366">
        <v>3</v>
      </c>
      <c r="L2" s="366">
        <v>4</v>
      </c>
      <c r="M2" s="366">
        <v>5</v>
      </c>
      <c r="N2" s="366" t="s">
        <v>44</v>
      </c>
      <c r="O2" s="365">
        <v>1</v>
      </c>
      <c r="P2" s="365">
        <v>2</v>
      </c>
      <c r="Q2" s="365">
        <v>3</v>
      </c>
      <c r="R2" s="365">
        <v>4</v>
      </c>
      <c r="S2" s="365">
        <v>5</v>
      </c>
      <c r="T2" s="366">
        <v>1</v>
      </c>
      <c r="U2" s="366">
        <v>2</v>
      </c>
      <c r="V2" s="366">
        <v>3</v>
      </c>
      <c r="W2" s="366">
        <v>4</v>
      </c>
      <c r="X2" s="366">
        <v>5</v>
      </c>
      <c r="Y2" s="365"/>
      <c r="Z2" s="367"/>
      <c r="AA2" s="366">
        <v>1</v>
      </c>
      <c r="AB2" s="366">
        <v>2</v>
      </c>
      <c r="AC2" s="366">
        <v>3</v>
      </c>
      <c r="AD2" s="366">
        <v>4</v>
      </c>
      <c r="AE2" s="366">
        <v>5</v>
      </c>
      <c r="AF2" s="366">
        <v>1</v>
      </c>
      <c r="AG2" s="366">
        <v>2</v>
      </c>
      <c r="AH2" s="366">
        <v>3</v>
      </c>
      <c r="AI2" s="366">
        <v>4</v>
      </c>
      <c r="AJ2" s="366">
        <v>5</v>
      </c>
      <c r="AK2" s="366">
        <v>1</v>
      </c>
      <c r="AL2" s="366">
        <v>2</v>
      </c>
      <c r="AM2" s="366">
        <v>3</v>
      </c>
      <c r="AN2" s="366">
        <v>4</v>
      </c>
      <c r="AO2" s="366">
        <v>5</v>
      </c>
      <c r="AP2" s="369" t="s">
        <v>43</v>
      </c>
      <c r="AQ2" s="366" t="s">
        <v>42</v>
      </c>
      <c r="AR2" s="366" t="s">
        <v>41</v>
      </c>
      <c r="AS2" s="366" t="s">
        <v>28</v>
      </c>
      <c r="AT2" s="257"/>
      <c r="AU2" s="257"/>
      <c r="AV2" s="257"/>
      <c r="AW2" s="257"/>
    </row>
    <row r="3" spans="1:50" x14ac:dyDescent="0.3">
      <c r="A3" s="364">
        <v>1</v>
      </c>
      <c r="B3" s="364">
        <v>1</v>
      </c>
      <c r="C3" s="364" t="s">
        <v>2</v>
      </c>
      <c r="D3" s="372"/>
      <c r="E3" s="372"/>
      <c r="F3" s="372"/>
      <c r="G3" s="372"/>
      <c r="H3" s="372"/>
      <c r="I3" s="372"/>
      <c r="J3" s="372"/>
      <c r="K3" s="372"/>
      <c r="L3" s="372"/>
      <c r="M3" s="372"/>
      <c r="N3" s="373"/>
      <c r="O3" s="373"/>
      <c r="P3" s="373"/>
      <c r="Q3" s="373"/>
      <c r="R3" s="373"/>
      <c r="S3" s="373"/>
      <c r="T3" s="374"/>
      <c r="U3" s="374"/>
      <c r="V3" s="374"/>
      <c r="W3" s="374"/>
      <c r="X3" s="374"/>
      <c r="Y3" s="374"/>
      <c r="Z3" s="376"/>
      <c r="AA3" s="373"/>
      <c r="AB3" s="373"/>
      <c r="AC3" s="373"/>
      <c r="AD3" s="374"/>
      <c r="AE3" s="374"/>
      <c r="AF3" s="373"/>
      <c r="AG3" s="373"/>
      <c r="AH3" s="373"/>
      <c r="AI3" s="374"/>
      <c r="AJ3" s="374"/>
      <c r="AK3" s="372"/>
      <c r="AL3" s="372"/>
      <c r="AM3" s="372"/>
      <c r="AN3" s="376"/>
      <c r="AO3" s="376"/>
      <c r="AP3" s="372"/>
      <c r="AQ3" s="372"/>
      <c r="AR3" s="372"/>
      <c r="AS3" s="372"/>
      <c r="AT3" s="371"/>
      <c r="AU3" s="371"/>
      <c r="AV3" s="371"/>
      <c r="AW3" s="371"/>
      <c r="AX3" s="371"/>
    </row>
    <row r="4" spans="1:50" x14ac:dyDescent="0.3">
      <c r="A4" s="364">
        <v>1</v>
      </c>
      <c r="B4" s="364">
        <v>1</v>
      </c>
      <c r="C4" s="364" t="s">
        <v>40</v>
      </c>
      <c r="D4" s="372"/>
      <c r="E4" s="372"/>
      <c r="F4" s="372"/>
      <c r="G4" s="372"/>
      <c r="H4" s="372"/>
      <c r="I4" s="372"/>
      <c r="J4" s="372"/>
      <c r="K4" s="372"/>
      <c r="L4" s="372"/>
      <c r="M4" s="372"/>
      <c r="N4" s="373"/>
      <c r="O4" s="373"/>
      <c r="P4" s="373"/>
      <c r="Q4" s="373"/>
      <c r="R4" s="373"/>
      <c r="S4" s="373"/>
      <c r="T4" s="374"/>
      <c r="U4" s="374"/>
      <c r="V4" s="374"/>
      <c r="W4" s="374"/>
      <c r="X4" s="374"/>
      <c r="Y4" s="374"/>
      <c r="Z4" s="376"/>
      <c r="AA4" s="373"/>
      <c r="AB4" s="373"/>
      <c r="AC4" s="373"/>
      <c r="AD4" s="374"/>
      <c r="AE4" s="374"/>
      <c r="AF4" s="373"/>
      <c r="AG4" s="373"/>
      <c r="AH4" s="373"/>
      <c r="AI4" s="374"/>
      <c r="AJ4" s="374"/>
      <c r="AK4" s="372"/>
      <c r="AL4" s="376"/>
      <c r="AM4" s="376"/>
      <c r="AN4" s="376"/>
      <c r="AO4" s="376"/>
      <c r="AP4" s="372"/>
      <c r="AQ4" s="372"/>
      <c r="AR4" s="372"/>
      <c r="AS4" s="372"/>
      <c r="AT4" s="371"/>
      <c r="AU4" s="371"/>
      <c r="AV4" s="371"/>
      <c r="AW4" s="371"/>
      <c r="AX4" s="371"/>
    </row>
    <row r="5" spans="1:50" x14ac:dyDescent="0.3">
      <c r="A5" s="364">
        <v>1</v>
      </c>
      <c r="B5" s="364">
        <v>1</v>
      </c>
      <c r="C5" s="364" t="s">
        <v>39</v>
      </c>
      <c r="D5" s="372">
        <f>Scenario!AN21</f>
        <v>0.37339203160199785</v>
      </c>
      <c r="E5" s="372">
        <f>Scenario!AO21</f>
        <v>0.89041070258950428</v>
      </c>
      <c r="F5" s="372">
        <f>Scenario!AP21</f>
        <v>1.6255263073807924</v>
      </c>
      <c r="G5" s="372">
        <f>Scenario!AQ21</f>
        <v>2.9675471872727468</v>
      </c>
      <c r="H5" s="372">
        <f>Scenario!AR21</f>
        <v>7.0765724824131357</v>
      </c>
      <c r="I5" s="372">
        <f>IF((D5+'Non travel METs'!C5)&gt;2.5,(D5+'Non travel METs'!C5),0.1)</f>
        <v>58.173392031601992</v>
      </c>
      <c r="J5" s="372">
        <f>IF((E5+'Non travel METs'!D5)&gt;2.5,(E5+'Non travel METs'!D5),0.1)</f>
        <v>41.890410702589506</v>
      </c>
      <c r="K5" s="372">
        <f>IF((F5+'Non travel METs'!E5)&gt;2.5,(F5+'Non travel METs'!E5),0.1)</f>
        <v>47.125526307380795</v>
      </c>
      <c r="L5" s="372">
        <f>IF((G5+'Non travel METs'!F5)&gt;2.5,(G5+'Non travel METs'!F5),0.1)</f>
        <v>40.892547187272747</v>
      </c>
      <c r="M5" s="372">
        <f>IF((H5+'Non travel METs'!G5)&gt;2.5,(H5+'Non travel METs'!G5),0.1)</f>
        <v>48.076572482413134</v>
      </c>
      <c r="N5" s="380">
        <f>'Phy activity RRs'!$I$4</f>
        <v>0.94314906211536642</v>
      </c>
      <c r="O5" s="373">
        <f>IF(('user page'!$R$36=0),$N5^(I5^0.25),IF(('user page'!$R$36=1),$N5^(I5^0.5),IF(('user page'!$R$36=2),$N5^(I5^0.375),IF(('user page'!$R$36=4),$N5^(I5),IF(('user page'!$R$36=3),$N5^(LN(1+I5)),"")))))</f>
        <v>0.63991230408986122</v>
      </c>
      <c r="P5" s="373">
        <f>IF(('user page'!$R$36=0),$N5^(J5^0.25),IF(('user page'!$R$36=1),$N5^(J5^0.5),IF(('user page'!$R$36=2),$N5^(J5^0.375),IF(('user page'!$R$36=4),$N5^(J5),IF(('user page'!$R$36=3),$N5^(LN(1+J5)),"")))))</f>
        <v>0.68466293959300251</v>
      </c>
      <c r="Q5" s="373">
        <f>IF(('user page'!$R$36=0),$N5^(K5^0.25),IF(('user page'!$R$36=1),$N5^(K5^0.5),IF(('user page'!$R$36=2),$N5^(K5^0.375),IF(('user page'!$R$36=4),$N5^(K5),IF(('user page'!$R$36=3),$N5^(LN(1+K5)),"")))))</f>
        <v>0.6691122968724339</v>
      </c>
      <c r="R5" s="373">
        <f>IF(('user page'!$R$36=0),$N5^(L5^0.25),IF(('user page'!$R$36=1),$N5^(L5^0.5),IF(('user page'!$R$36=2),$N5^(L5^0.375),IF(('user page'!$R$36=4),$N5^(L5),IF(('user page'!$R$36=3),$N5^(LN(1+L5)),"")))))</f>
        <v>0.68777782378980468</v>
      </c>
      <c r="S5" s="373">
        <f>IF(('user page'!$R$36=0),$N5^(M5^0.25),IF(('user page'!$R$36=1),$N5^(M5^0.5),IF(('user page'!$R$36=2),$N5^(M5^0.375),IF(('user page'!$R$36=4),$N5^(M5),IF(('user page'!$R$36=3),$N5^(LN(1+M5)),"")))))</f>
        <v>0.66641842129867923</v>
      </c>
      <c r="T5" s="374">
        <f t="shared" ref="T5:X10" si="0">O5/$O5</f>
        <v>1</v>
      </c>
      <c r="U5" s="374">
        <f t="shared" si="0"/>
        <v>1.0699324504578631</v>
      </c>
      <c r="V5" s="374">
        <f t="shared" si="0"/>
        <v>1.0456312413372071</v>
      </c>
      <c r="W5" s="374">
        <f t="shared" si="0"/>
        <v>1.0748001240076512</v>
      </c>
      <c r="X5" s="374">
        <f t="shared" si="0"/>
        <v>1.0414214839117952</v>
      </c>
      <c r="Y5" s="379">
        <f>1-Z5</f>
        <v>-5.6135434808046725E-4</v>
      </c>
      <c r="Z5" s="381">
        <f t="shared" ref="Z5:Z10" si="1">SUM(O5:S5)/SUM(O22:S22)</f>
        <v>1.0005613543480805</v>
      </c>
      <c r="AA5" s="372">
        <f>Z5*GBDNZ!$E90/($T5+$W5+$X5+U5+V5)</f>
        <v>0</v>
      </c>
      <c r="AB5" s="376">
        <f t="shared" ref="AB5:AE10" si="2">$AA5*U5</f>
        <v>0</v>
      </c>
      <c r="AC5" s="376">
        <f t="shared" si="2"/>
        <v>0</v>
      </c>
      <c r="AD5" s="376">
        <f t="shared" si="2"/>
        <v>0</v>
      </c>
      <c r="AE5" s="376">
        <f t="shared" si="2"/>
        <v>0</v>
      </c>
      <c r="AF5" s="372">
        <f>Z5*GBDNZ!$F90/($T5+$W5+$X5+U5+V5)</f>
        <v>0</v>
      </c>
      <c r="AG5" s="376">
        <f t="shared" ref="AG5:AJ10" si="3">$AF5*U5</f>
        <v>0</v>
      </c>
      <c r="AH5" s="376">
        <f t="shared" si="3"/>
        <v>0</v>
      </c>
      <c r="AI5" s="376">
        <f t="shared" si="3"/>
        <v>0</v>
      </c>
      <c r="AJ5" s="376">
        <f t="shared" si="3"/>
        <v>0</v>
      </c>
      <c r="AK5" s="372">
        <f>Z5*GBDNZ!$G90/($T5+$W5+$X5+U5+V5)</f>
        <v>0</v>
      </c>
      <c r="AL5" s="376">
        <f t="shared" ref="AL5:AO10" si="4">$AK5*U5</f>
        <v>0</v>
      </c>
      <c r="AM5" s="376">
        <f t="shared" si="4"/>
        <v>0</v>
      </c>
      <c r="AN5" s="376">
        <f t="shared" si="4"/>
        <v>0</v>
      </c>
      <c r="AO5" s="376">
        <f t="shared" si="4"/>
        <v>0</v>
      </c>
      <c r="AP5" s="372">
        <f>AA5+AB5+AE5+AC5+AD5-AC22-AD22-AA22-AB22-AE22</f>
        <v>0</v>
      </c>
      <c r="AQ5" s="372">
        <f>AF5+AG5+AJ5+AH5+AI5-AH22-AI22-AG22-AJ22-AF22</f>
        <v>0</v>
      </c>
      <c r="AR5" s="372">
        <f>AK5+AL5+AO5-AK22+AM5+AN5-AM22-AN22-AL22-AO22</f>
        <v>0</v>
      </c>
      <c r="AS5" s="372">
        <f t="shared" ref="AS5:AS10" si="5">AQ5+AR5</f>
        <v>0</v>
      </c>
      <c r="AT5" s="371"/>
      <c r="AU5" s="371"/>
      <c r="AV5" s="371"/>
      <c r="AW5" s="371"/>
      <c r="AX5" s="371"/>
    </row>
    <row r="6" spans="1:50" x14ac:dyDescent="0.3">
      <c r="A6" s="364">
        <v>1</v>
      </c>
      <c r="B6" s="364">
        <v>1</v>
      </c>
      <c r="C6" s="364" t="s">
        <v>38</v>
      </c>
      <c r="D6" s="372">
        <f>Scenario!AN22</f>
        <v>0.24273184972454737</v>
      </c>
      <c r="E6" s="372">
        <f>Scenario!AO22</f>
        <v>0.57883141192595211</v>
      </c>
      <c r="F6" s="372">
        <f>Scenario!AP22</f>
        <v>1.0567097687478921</v>
      </c>
      <c r="G6" s="372">
        <f>Scenario!AQ22</f>
        <v>1.9291204871757561</v>
      </c>
      <c r="H6" s="372">
        <f>Scenario!AR22</f>
        <v>4.600284374029961</v>
      </c>
      <c r="I6" s="372">
        <f>IF((D6+'Non travel METs'!C6)&gt;2.5,(D6+'Non travel METs'!C6),0.1)</f>
        <v>51.492731849724549</v>
      </c>
      <c r="J6" s="372">
        <f>IF((E6+'Non travel METs'!D6)&gt;2.5,(E6+'Non travel METs'!D6),0.1)</f>
        <v>51.828831411925954</v>
      </c>
      <c r="K6" s="372">
        <f>IF((F6+'Non travel METs'!E6)&gt;2.5,(F6+'Non travel METs'!E6),0.1)</f>
        <v>65.806709768747893</v>
      </c>
      <c r="L6" s="372">
        <f>IF((G6+'Non travel METs'!F6)&gt;2.5,(G6+'Non travel METs'!F6),0.1)</f>
        <v>48.054120487175759</v>
      </c>
      <c r="M6" s="372">
        <f>IF((H6+'Non travel METs'!G6)&gt;2.5,(H6+'Non travel METs'!G6),0.1)</f>
        <v>49.400284374029958</v>
      </c>
      <c r="N6" s="380">
        <f>'Phy activity RRs'!$I$4</f>
        <v>0.94314906211536642</v>
      </c>
      <c r="O6" s="373">
        <f>IF(('user page'!$R$36=0),$N6^(I6^0.25),IF(('user page'!$R$36=1),$N6^(I6^0.5),IF(('user page'!$R$36=2),$N6^(I6^0.375),IF(('user page'!$R$36=4),$N6^(I6),IF(('user page'!$R$36=3),$N6^(LN(1+I6)),"")))))</f>
        <v>0.65704100575744506</v>
      </c>
      <c r="P6" s="373">
        <f>IF(('user page'!$R$36=0),$N6^(J6^0.25),IF(('user page'!$R$36=1),$N6^(J6^0.5),IF(('user page'!$R$36=2),$N6^(J6^0.375),IF(('user page'!$R$36=4),$N6^(J6),IF(('user page'!$R$36=3),$N6^(LN(1+J6)),"")))))</f>
        <v>0.65614246277597765</v>
      </c>
      <c r="Q6" s="373">
        <f>IF(('user page'!$R$36=0),$N6^(K6^0.25),IF(('user page'!$R$36=1),$N6^(K6^0.5),IF(('user page'!$R$36=2),$N6^(K6^0.375),IF(('user page'!$R$36=4),$N6^(K6),IF(('user page'!$R$36=3),$N6^(LN(1+K6)),"")))))</f>
        <v>0.62200274622925167</v>
      </c>
      <c r="R6" s="373">
        <f>IF(('user page'!$R$36=0),$N6^(L6^0.25),IF(('user page'!$R$36=1),$N6^(L6^0.5),IF(('user page'!$R$36=2),$N6^(L6^0.375),IF(('user page'!$R$36=4),$N6^(L6),IF(('user page'!$R$36=3),$N6^(LN(1+L6)),"")))))</f>
        <v>0.66648158418354919</v>
      </c>
      <c r="S6" s="373">
        <f>IF(('user page'!$R$36=0),$N6^(M6^0.25),IF(('user page'!$R$36=1),$N6^(M6^0.5),IF(('user page'!$R$36=2),$N6^(M6^0.375),IF(('user page'!$R$36=4),$N6^(M6),IF(('user page'!$R$36=3),$N6^(LN(1+M6)),"")))))</f>
        <v>0.6627306347437204</v>
      </c>
      <c r="T6" s="374">
        <f t="shared" si="0"/>
        <v>1</v>
      </c>
      <c r="U6" s="374">
        <f t="shared" si="0"/>
        <v>0.99863244002490903</v>
      </c>
      <c r="V6" s="374">
        <f t="shared" si="0"/>
        <v>0.94667264414067909</v>
      </c>
      <c r="W6" s="374">
        <f t="shared" si="0"/>
        <v>1.0143683245693638</v>
      </c>
      <c r="X6" s="374">
        <f t="shared" si="0"/>
        <v>1.0086594732085501</v>
      </c>
      <c r="Y6" s="379">
        <f t="shared" ref="Y6:Y18" si="6">1-Z6</f>
        <v>-2.2497537382548671E-4</v>
      </c>
      <c r="Z6" s="381">
        <f t="shared" si="1"/>
        <v>1.0002249753738255</v>
      </c>
      <c r="AA6" s="372">
        <f>Z6*GBDNZ!$E91/($T6+$W6+$X6+U6+V6)</f>
        <v>5.162526895670323E-4</v>
      </c>
      <c r="AB6" s="376">
        <f t="shared" si="2"/>
        <v>5.1554668305174741E-4</v>
      </c>
      <c r="AC6" s="376">
        <f t="shared" si="2"/>
        <v>4.8872229867715964E-4</v>
      </c>
      <c r="AD6" s="376">
        <f t="shared" si="2"/>
        <v>5.2367037577053844E-4</v>
      </c>
      <c r="AE6" s="376">
        <f t="shared" si="2"/>
        <v>5.207231659011799E-4</v>
      </c>
      <c r="AF6" s="372">
        <f>Z6*GBDNZ!$F91/($T6+$W6+$X6+U6+V6)</f>
        <v>2.304056700304017E-2</v>
      </c>
      <c r="AG6" s="376">
        <f t="shared" si="3"/>
        <v>2.300905764580341E-2</v>
      </c>
      <c r="AH6" s="376">
        <f t="shared" si="3"/>
        <v>2.1811874487268519E-2</v>
      </c>
      <c r="AI6" s="376">
        <f t="shared" si="3"/>
        <v>2.3371621348002025E-2</v>
      </c>
      <c r="AJ6" s="376">
        <f t="shared" si="3"/>
        <v>2.3240086175712799E-2</v>
      </c>
      <c r="AK6" s="372">
        <f>Z6*GBDNZ!$G91/($T6+$W6+$X6+U6+V6)</f>
        <v>0.33836114147463608</v>
      </c>
      <c r="AL6" s="376">
        <f t="shared" si="4"/>
        <v>0.33789841232042928</v>
      </c>
      <c r="AM6" s="376">
        <f t="shared" si="4"/>
        <v>0.32031723647425214</v>
      </c>
      <c r="AN6" s="376">
        <f t="shared" si="4"/>
        <v>0.34322282417700406</v>
      </c>
      <c r="AO6" s="376">
        <f t="shared" si="4"/>
        <v>0.34129117071405013</v>
      </c>
      <c r="AP6" s="372">
        <f t="shared" ref="AP6:AP18" si="7">AA6+AB6+AE6+AC6+AD6-AC23-AD23-AA23-AB23-AE23</f>
        <v>5.7691296765781559E-7</v>
      </c>
      <c r="AQ6" s="372">
        <f t="shared" ref="AQ6:AQ18" si="8">AF6+AG6+AJ6+AH6+AI6-AH23-AI23-AG23-AJ23-AF23</f>
        <v>2.5747859826903696E-5</v>
      </c>
      <c r="AR6" s="372">
        <f t="shared" ref="AR6:AR18" si="9">AK6+AL6+AO6-AK23+AM6+AN6-AM23-AN23-AL23-AO23</f>
        <v>3.7811896037159842E-4</v>
      </c>
      <c r="AS6" s="372">
        <f t="shared" si="5"/>
        <v>4.0386682019850212E-4</v>
      </c>
      <c r="AT6" s="371"/>
      <c r="AU6" s="371"/>
      <c r="AV6" s="371"/>
      <c r="AW6" s="371"/>
      <c r="AX6" s="371"/>
    </row>
    <row r="7" spans="1:50" x14ac:dyDescent="0.3">
      <c r="A7" s="364">
        <v>1</v>
      </c>
      <c r="B7" s="364">
        <v>1</v>
      </c>
      <c r="C7" s="364" t="s">
        <v>37</v>
      </c>
      <c r="D7" s="372">
        <f>Scenario!AN23</f>
        <v>0.44101223863405448</v>
      </c>
      <c r="E7" s="372">
        <f>Scenario!AO23</f>
        <v>1.0516614818156649</v>
      </c>
      <c r="F7" s="372">
        <f>Scenario!AP23</f>
        <v>1.9199043769114967</v>
      </c>
      <c r="G7" s="372">
        <f>Scenario!AQ23</f>
        <v>3.5049613209376891</v>
      </c>
      <c r="H7" s="372">
        <f>Scenario!AR23</f>
        <v>8.3581191032263789</v>
      </c>
      <c r="I7" s="372">
        <f>IF((D7+'Non travel METs'!C7)&gt;2.5,(D7+'Non travel METs'!C7),0.1)</f>
        <v>58.71601223863405</v>
      </c>
      <c r="J7" s="372">
        <f>IF((E7+'Non travel METs'!D7)&gt;2.5,(E7+'Non travel METs'!D7),0.1)</f>
        <v>62.551661481815664</v>
      </c>
      <c r="K7" s="372">
        <f>IF((F7+'Non travel METs'!E7)&gt;2.5,(F7+'Non travel METs'!E7),0.1)</f>
        <v>55.644904376911498</v>
      </c>
      <c r="L7" s="372">
        <f>IF((G7+'Non travel METs'!F7)&gt;2.5,(G7+'Non travel METs'!F7),0.1)</f>
        <v>55.704961320937691</v>
      </c>
      <c r="M7" s="372">
        <f>IF((H7+'Non travel METs'!G7)&gt;2.5,(H7+'Non travel METs'!G7),0.1)</f>
        <v>55.058119103226382</v>
      </c>
      <c r="N7" s="380">
        <f>'Phy activity RRs'!$I$4</f>
        <v>0.94314906211536642</v>
      </c>
      <c r="O7" s="373">
        <f>IF(('user page'!$R$36=0),$N7^(I7^0.25),IF(('user page'!$R$36=1),$N7^(I7^0.5),IF(('user page'!$R$36=2),$N7^(I7^0.375),IF(('user page'!$R$36=4),$N7^(I7),IF(('user page'!$R$36=3),$N7^(LN(1+I7)),"")))))</f>
        <v>0.63858445257098817</v>
      </c>
      <c r="P7" s="373">
        <f>IF(('user page'!$R$36=0),$N7^(J7^0.25),IF(('user page'!$R$36=1),$N7^(J7^0.5),IF(('user page'!$R$36=2),$N7^(J7^0.375),IF(('user page'!$R$36=4),$N7^(J7),IF(('user page'!$R$36=3),$N7^(LN(1+J7)),"")))))</f>
        <v>0.62944368761045155</v>
      </c>
      <c r="Q7" s="373">
        <f>IF(('user page'!$R$36=0),$N7^(K7^0.25),IF(('user page'!$R$36=1),$N7^(K7^0.5),IF(('user page'!$R$36=2),$N7^(K7^0.375),IF(('user page'!$R$36=4),$N7^(K7),IF(('user page'!$R$36=3),$N7^(LN(1+K7)),"")))))</f>
        <v>0.64622048881577665</v>
      </c>
      <c r="R7" s="373">
        <f>IF(('user page'!$R$36=0),$N7^(L7^0.25),IF(('user page'!$R$36=1),$N7^(L7^0.5),IF(('user page'!$R$36=2),$N7^(L7^0.375),IF(('user page'!$R$36=4),$N7^(L7),IF(('user page'!$R$36=3),$N7^(LN(1+L7)),"")))))</f>
        <v>0.64606828748588541</v>
      </c>
      <c r="S7" s="373">
        <f>IF(('user page'!$R$36=0),$N7^(M7^0.25),IF(('user page'!$R$36=1),$N7^(M7^0.5),IF(('user page'!$R$36=2),$N7^(M7^0.375),IF(('user page'!$R$36=4),$N7^(M7),IF(('user page'!$R$36=3),$N7^(LN(1+M7)),"")))))</f>
        <v>0.64771381095174962</v>
      </c>
      <c r="T7" s="374">
        <f t="shared" si="0"/>
        <v>1</v>
      </c>
      <c r="U7" s="374">
        <f t="shared" si="0"/>
        <v>0.98568589491376557</v>
      </c>
      <c r="V7" s="374">
        <f t="shared" si="0"/>
        <v>1.0119577547089429</v>
      </c>
      <c r="W7" s="374">
        <f t="shared" si="0"/>
        <v>1.0117194129684284</v>
      </c>
      <c r="X7" s="374">
        <f t="shared" si="0"/>
        <v>1.0142962427976534</v>
      </c>
      <c r="Y7" s="379">
        <f t="shared" si="6"/>
        <v>-1.0203872246727919E-4</v>
      </c>
      <c r="Z7" s="381">
        <f t="shared" si="1"/>
        <v>1.0001020387224673</v>
      </c>
      <c r="AA7" s="372">
        <f>Z7*GBDNZ!$E92/($T7+$W7+$X7+U7+V7)</f>
        <v>0.64045606560401103</v>
      </c>
      <c r="AB7" s="376">
        <f t="shared" si="2"/>
        <v>0.63128851017783894</v>
      </c>
      <c r="AC7" s="376">
        <f t="shared" si="2"/>
        <v>0.64811448213835843</v>
      </c>
      <c r="AD7" s="376">
        <f t="shared" si="2"/>
        <v>0.64796183472495927</v>
      </c>
      <c r="AE7" s="376">
        <f t="shared" si="2"/>
        <v>0.64961218101911578</v>
      </c>
      <c r="AF7" s="372">
        <f>Z7*GBDNZ!$F92/($T7+$W7+$X7+U7+V7)</f>
        <v>20.066202432782312</v>
      </c>
      <c r="AG7" s="376">
        <f t="shared" si="3"/>
        <v>19.778972702477812</v>
      </c>
      <c r="AH7" s="376">
        <f t="shared" si="3"/>
        <v>20.306149159413515</v>
      </c>
      <c r="AI7" s="376">
        <f t="shared" si="3"/>
        <v>20.301366545800171</v>
      </c>
      <c r="AJ7" s="376">
        <f t="shared" si="3"/>
        <v>20.353073734788232</v>
      </c>
      <c r="AK7" s="372">
        <f>Z7*GBDNZ!$G92/($T7+$W7+$X7+U7+V7)</f>
        <v>27.301242231955829</v>
      </c>
      <c r="AL7" s="376">
        <f t="shared" si="4"/>
        <v>26.910449381662872</v>
      </c>
      <c r="AM7" s="376">
        <f t="shared" si="4"/>
        <v>27.627703789814991</v>
      </c>
      <c r="AN7" s="376">
        <f t="shared" si="4"/>
        <v>27.621196764223217</v>
      </c>
      <c r="AO7" s="376">
        <f t="shared" si="4"/>
        <v>27.691547419581418</v>
      </c>
      <c r="AP7" s="372">
        <f t="shared" si="7"/>
        <v>3.2826926428397574E-4</v>
      </c>
      <c r="AQ7" s="372">
        <f t="shared" si="8"/>
        <v>1.0285041962031727E-2</v>
      </c>
      <c r="AR7" s="372">
        <f t="shared" si="9"/>
        <v>1.3993401238320047E-2</v>
      </c>
      <c r="AS7" s="372">
        <f t="shared" si="5"/>
        <v>2.4278443200351774E-2</v>
      </c>
      <c r="AT7" s="371"/>
      <c r="AU7" s="371"/>
      <c r="AV7" s="371"/>
      <c r="AW7" s="371"/>
      <c r="AX7" s="371"/>
    </row>
    <row r="8" spans="1:50" x14ac:dyDescent="0.3">
      <c r="A8" s="364">
        <v>1</v>
      </c>
      <c r="B8" s="364">
        <v>1</v>
      </c>
      <c r="C8" s="364" t="s">
        <v>36</v>
      </c>
      <c r="D8" s="372">
        <f>Scenario!AN24</f>
        <v>0.39571511265083242</v>
      </c>
      <c r="E8" s="372">
        <f>Scenario!AO24</f>
        <v>0.94364352117798989</v>
      </c>
      <c r="F8" s="372">
        <f>Scenario!AP24</f>
        <v>1.7227076943294906</v>
      </c>
      <c r="G8" s="372">
        <f>Scenario!AQ24</f>
        <v>3.1449607118557816</v>
      </c>
      <c r="H8" s="372">
        <f>Scenario!AR24</f>
        <v>7.4996423063595765</v>
      </c>
      <c r="I8" s="372">
        <f>IF((D8+'Non travel METs'!C8)&gt;2.5,(D8+'Non travel METs'!C8),0.1)</f>
        <v>41.395715112650834</v>
      </c>
      <c r="J8" s="372">
        <f>IF((E8+'Non travel METs'!D8)&gt;2.5,(E8+'Non travel METs'!D8),0.1)</f>
        <v>32.193643521177989</v>
      </c>
      <c r="K8" s="372">
        <f>IF((F8+'Non travel METs'!E8)&gt;2.5,(F8+'Non travel METs'!E8),0.1)</f>
        <v>45.806041027662793</v>
      </c>
      <c r="L8" s="372">
        <f>IF((G8+'Non travel METs'!F8)&gt;2.5,(G8+'Non travel METs'!F8),0.1)</f>
        <v>45.644960711855781</v>
      </c>
      <c r="M8" s="372">
        <f>IF((H8+'Non travel METs'!G8)&gt;2.5,(H8+'Non travel METs'!G8),0.1)</f>
        <v>40.299642306359573</v>
      </c>
      <c r="N8" s="380">
        <f>'Phy activity RRs'!$I$4</f>
        <v>0.94314906211536642</v>
      </c>
      <c r="O8" s="373">
        <f>IF(('user page'!$R$36=0),$N8^(I8^0.25),IF(('user page'!$R$36=1),$N8^(I8^0.5),IF(('user page'!$R$36=2),$N8^(I8^0.375),IF(('user page'!$R$36=4),$N8^(I8),IF(('user page'!$R$36=3),$N8^(LN(1+I8)),"")))))</f>
        <v>0.6862006982432286</v>
      </c>
      <c r="P8" s="373">
        <f>IF(('user page'!$R$36=0),$N8^(J8^0.25),IF(('user page'!$R$36=1),$N8^(J8^0.5),IF(('user page'!$R$36=2),$N8^(J8^0.375),IF(('user page'!$R$36=4),$N8^(J8),IF(('user page'!$R$36=3),$N8^(LN(1+J8)),"")))))</f>
        <v>0.7174146650950386</v>
      </c>
      <c r="Q8" s="373">
        <f>IF(('user page'!$R$36=0),$N8^(K8^0.25),IF(('user page'!$R$36=1),$N8^(K8^0.5),IF(('user page'!$R$36=2),$N8^(K8^0.375),IF(('user page'!$R$36=4),$N8^(K8),IF(('user page'!$R$36=3),$N8^(LN(1+K8)),"")))))</f>
        <v>0.67291361383128456</v>
      </c>
      <c r="R8" s="373">
        <f>IF(('user page'!$R$36=0),$N8^(L8^0.25),IF(('user page'!$R$36=1),$N8^(L8^0.5),IF(('user page'!$R$36=2),$N8^(L8^0.375),IF(('user page'!$R$36=4),$N8^(L8),IF(('user page'!$R$36=3),$N8^(LN(1+L8)),"")))))</f>
        <v>0.67338289117600247</v>
      </c>
      <c r="S8" s="373">
        <f>IF(('user page'!$R$36=0),$N8^(M8^0.25),IF(('user page'!$R$36=1),$N8^(M8^0.5),IF(('user page'!$R$36=2),$N8^(M8^0.375),IF(('user page'!$R$36=4),$N8^(M8),IF(('user page'!$R$36=3),$N8^(LN(1+M8)),"")))))</f>
        <v>0.68965342687167908</v>
      </c>
      <c r="T8" s="374">
        <f t="shared" si="0"/>
        <v>1</v>
      </c>
      <c r="U8" s="374">
        <f t="shared" si="0"/>
        <v>1.0454881012679267</v>
      </c>
      <c r="V8" s="374">
        <f t="shared" si="0"/>
        <v>0.98063673726074474</v>
      </c>
      <c r="W8" s="374">
        <f t="shared" si="0"/>
        <v>0.98132061494539202</v>
      </c>
      <c r="X8" s="374">
        <f t="shared" si="0"/>
        <v>1.0050316600337044</v>
      </c>
      <c r="Y8" s="379">
        <f t="shared" si="6"/>
        <v>-8.3732278161652296E-4</v>
      </c>
      <c r="Z8" s="381">
        <f t="shared" si="1"/>
        <v>1.0008373227816165</v>
      </c>
      <c r="AA8" s="372">
        <f>Z8*GBDNZ!$E93/($T8+$W8+$X8+U8+V8)</f>
        <v>6.7815693845618403</v>
      </c>
      <c r="AB8" s="376">
        <f t="shared" si="2"/>
        <v>7.0900500994822604</v>
      </c>
      <c r="AC8" s="376">
        <f t="shared" si="2"/>
        <v>6.65025607478408</v>
      </c>
      <c r="AD8" s="376">
        <f t="shared" si="2"/>
        <v>6.6548938387530692</v>
      </c>
      <c r="AE8" s="376">
        <f t="shared" si="2"/>
        <v>6.8156919361999329</v>
      </c>
      <c r="AF8" s="372">
        <f>Z8*GBDNZ!$F93/($T8+$W8+$X8+U8+V8)</f>
        <v>155.24498177050674</v>
      </c>
      <c r="AG8" s="376">
        <f t="shared" si="3"/>
        <v>162.30678122262097</v>
      </c>
      <c r="AH8" s="376">
        <f t="shared" si="3"/>
        <v>152.23893239953352</v>
      </c>
      <c r="AI8" s="376">
        <f t="shared" si="3"/>
        <v>152.34510097821985</v>
      </c>
      <c r="AJ8" s="376">
        <f t="shared" si="3"/>
        <v>156.02612174071456</v>
      </c>
      <c r="AK8" s="372">
        <f>Z8*GBDNZ!$G93/($T8+$W8+$X8+U8+V8)</f>
        <v>101.37341164579755</v>
      </c>
      <c r="AL8" s="376">
        <f t="shared" si="4"/>
        <v>105.98469566061681</v>
      </c>
      <c r="AM8" s="376">
        <f t="shared" si="4"/>
        <v>99.410491641325294</v>
      </c>
      <c r="AN8" s="376">
        <f t="shared" si="4"/>
        <v>99.479818655366415</v>
      </c>
      <c r="AO8" s="376">
        <f t="shared" si="4"/>
        <v>101.88348818965596</v>
      </c>
      <c r="AP8" s="372">
        <f t="shared" si="7"/>
        <v>2.8438849781176501E-2</v>
      </c>
      <c r="AQ8" s="372">
        <f t="shared" si="8"/>
        <v>0.65102758159540031</v>
      </c>
      <c r="AR8" s="372">
        <f t="shared" si="9"/>
        <v>0.42511446276195386</v>
      </c>
      <c r="AS8" s="372">
        <f t="shared" si="5"/>
        <v>1.0761420443573542</v>
      </c>
      <c r="AT8" s="371"/>
      <c r="AU8" s="371"/>
      <c r="AV8" s="371"/>
      <c r="AW8" s="371"/>
      <c r="AX8" s="371"/>
    </row>
    <row r="9" spans="1:50" x14ac:dyDescent="0.3">
      <c r="A9" s="364">
        <v>1</v>
      </c>
      <c r="B9" s="364">
        <v>1</v>
      </c>
      <c r="C9" s="364" t="s">
        <v>35</v>
      </c>
      <c r="D9" s="372">
        <f>Scenario!AN25</f>
        <v>0.48300262725816756</v>
      </c>
      <c r="E9" s="372">
        <f>Scenario!AO25</f>
        <v>1.1517940188609537</v>
      </c>
      <c r="F9" s="372">
        <f>Scenario!AP25</f>
        <v>2.1027054963483303</v>
      </c>
      <c r="G9" s="372">
        <f>Scenario!AQ25</f>
        <v>3.8386815107321977</v>
      </c>
      <c r="H9" s="372">
        <f>Scenario!AR25</f>
        <v>9.1539262000954498</v>
      </c>
      <c r="I9" s="372">
        <f>IF((D9+'Non travel METs'!C9)&gt;2.5,(D9+'Non travel METs'!C9),0.1)</f>
        <v>4.858002627258168</v>
      </c>
      <c r="J9" s="372">
        <f>IF((E9+'Non travel METs'!D9)&gt;2.5,(E9+'Non travel METs'!D9),0.1)</f>
        <v>6.1517940188609535</v>
      </c>
      <c r="K9" s="372">
        <f>IF((F9+'Non travel METs'!E9)&gt;2.5,(F9+'Non travel METs'!E9),0.1)</f>
        <v>10.43603882968166</v>
      </c>
      <c r="L9" s="372">
        <f>IF((G9+'Non travel METs'!F9)&gt;2.5,(G9+'Non travel METs'!F9),0.1)</f>
        <v>7.5886815107321972</v>
      </c>
      <c r="M9" s="372">
        <f>IF((H9+'Non travel METs'!G9)&gt;2.5,(H9+'Non travel METs'!G9),0.1)</f>
        <v>22.278926200095448</v>
      </c>
      <c r="N9" s="380">
        <f>'Phy activity RRs'!$I$4</f>
        <v>0.94314906211536642</v>
      </c>
      <c r="O9" s="373">
        <f>IF(('user page'!$R$36=0),$N9^(I9^0.25),IF(('user page'!$R$36=1),$N9^(I9^0.5),IF(('user page'!$R$36=2),$N9^(I9^0.375),IF(('user page'!$R$36=4),$N9^(I9),IF(('user page'!$R$36=3),$N9^(LN(1+I9)),"")))))</f>
        <v>0.87896753328015864</v>
      </c>
      <c r="P9" s="373">
        <f>IF(('user page'!$R$36=0),$N9^(J9^0.25),IF(('user page'!$R$36=1),$N9^(J9^0.5),IF(('user page'!$R$36=2),$N9^(J9^0.375),IF(('user page'!$R$36=4),$N9^(J9),IF(('user page'!$R$36=3),$N9^(LN(1+J9)),"")))))</f>
        <v>0.86487250834980378</v>
      </c>
      <c r="Q9" s="373">
        <f>IF(('user page'!$R$36=0),$N9^(K9^0.25),IF(('user page'!$R$36=1),$N9^(K9^0.5),IF(('user page'!$R$36=2),$N9^(K9^0.375),IF(('user page'!$R$36=4),$N9^(K9),IF(('user page'!$R$36=3),$N9^(LN(1+K9)),"")))))</f>
        <v>0.82771750319862536</v>
      </c>
      <c r="R9" s="373">
        <f>IF(('user page'!$R$36=0),$N9^(L9^0.25),IF(('user page'!$R$36=1),$N9^(L9^0.5),IF(('user page'!$R$36=2),$N9^(L9^0.375),IF(('user page'!$R$36=4),$N9^(L9),IF(('user page'!$R$36=3),$N9^(LN(1+L9)),"")))))</f>
        <v>0.85108909766995888</v>
      </c>
      <c r="S9" s="373">
        <f>IF(('user page'!$R$36=0),$N9^(M9^0.25),IF(('user page'!$R$36=1),$N9^(M9^0.5),IF(('user page'!$R$36=2),$N9^(M9^0.375),IF(('user page'!$R$36=4),$N9^(M9),IF(('user page'!$R$36=3),$N9^(LN(1+M9)),"")))))</f>
        <v>0.75860862256351025</v>
      </c>
      <c r="T9" s="374">
        <f t="shared" si="0"/>
        <v>1</v>
      </c>
      <c r="U9" s="374">
        <f t="shared" si="0"/>
        <v>0.98396411198744216</v>
      </c>
      <c r="V9" s="374">
        <f t="shared" si="0"/>
        <v>0.94169292022621498</v>
      </c>
      <c r="W9" s="374">
        <f t="shared" si="0"/>
        <v>0.96828274702461181</v>
      </c>
      <c r="X9" s="374">
        <f t="shared" si="0"/>
        <v>0.8630678538631692</v>
      </c>
      <c r="Y9" s="379">
        <f t="shared" si="6"/>
        <v>-1.6442395007085775E-3</v>
      </c>
      <c r="Z9" s="381">
        <f t="shared" si="1"/>
        <v>1.0016442395007086</v>
      </c>
      <c r="AA9" s="372">
        <f>Z9*GBDNZ!$E94/($T9+$W9+$X9+U9+V9)</f>
        <v>30.925238936226659</v>
      </c>
      <c r="AB9" s="376">
        <f t="shared" si="2"/>
        <v>30.429325267883733</v>
      </c>
      <c r="AC9" s="376">
        <f t="shared" si="2"/>
        <v>29.12207856254873</v>
      </c>
      <c r="AD9" s="376">
        <f t="shared" si="2"/>
        <v>29.944375309562034</v>
      </c>
      <c r="AE9" s="376">
        <f t="shared" si="2"/>
        <v>26.69057959889486</v>
      </c>
      <c r="AF9" s="372">
        <f>Z9*GBDNZ!$F94/($T9+$W9+$X9+U9+V9)</f>
        <v>451.37920892989655</v>
      </c>
      <c r="AG9" s="376">
        <f t="shared" si="3"/>
        <v>444.14094248429979</v>
      </c>
      <c r="AH9" s="376">
        <f t="shared" si="3"/>
        <v>425.06060538659307</v>
      </c>
      <c r="AI9" s="376">
        <f t="shared" si="3"/>
        <v>437.06270037243644</v>
      </c>
      <c r="AJ9" s="376">
        <f t="shared" si="3"/>
        <v>389.57088512958086</v>
      </c>
      <c r="AK9" s="372">
        <f>Z9*GBDNZ!$G94/($T9+$W9+$X9+U9+V9)</f>
        <v>231.5512894495551</v>
      </c>
      <c r="AL9" s="376">
        <f t="shared" si="4"/>
        <v>227.83815890277867</v>
      </c>
      <c r="AM9" s="376">
        <f t="shared" si="4"/>
        <v>218.0502099438971</v>
      </c>
      <c r="AN9" s="376">
        <f t="shared" si="4"/>
        <v>224.20711862530624</v>
      </c>
      <c r="AO9" s="376">
        <f t="shared" si="4"/>
        <v>199.84447444447702</v>
      </c>
      <c r="AP9" s="372">
        <f t="shared" si="7"/>
        <v>0.24148963311599303</v>
      </c>
      <c r="AQ9" s="372">
        <f t="shared" si="8"/>
        <v>3.5247391228067499</v>
      </c>
      <c r="AR9" s="372">
        <f t="shared" si="9"/>
        <v>1.8081424060141273</v>
      </c>
      <c r="AS9" s="372">
        <f t="shared" si="5"/>
        <v>5.3328815288208773</v>
      </c>
      <c r="AT9" s="371"/>
      <c r="AU9" s="371"/>
      <c r="AV9" s="371"/>
      <c r="AW9" s="371"/>
      <c r="AX9" s="371"/>
    </row>
    <row r="10" spans="1:50" x14ac:dyDescent="0.3">
      <c r="A10" s="364">
        <v>1</v>
      </c>
      <c r="B10" s="364">
        <v>1</v>
      </c>
      <c r="C10" s="364" t="s">
        <v>34</v>
      </c>
      <c r="D10" s="372">
        <f>Scenario!AN26</f>
        <v>0.23447740333822151</v>
      </c>
      <c r="E10" s="372">
        <f>Scenario!AO26</f>
        <v>0.55914741552463088</v>
      </c>
      <c r="F10" s="372">
        <f>Scenario!AP26</f>
        <v>1.0207748300823047</v>
      </c>
      <c r="G10" s="372">
        <f>Scenario!AQ26</f>
        <v>1.8635179646710851</v>
      </c>
      <c r="H10" s="372">
        <f>Scenario!AR26</f>
        <v>4.4438450737470596</v>
      </c>
      <c r="I10" s="372">
        <f>IF((D10+'Non travel METs'!C10)&gt;2.5,(D10+'Non travel METs'!C10),0.1)</f>
        <v>0.1</v>
      </c>
      <c r="J10" s="372">
        <f>IF((E10+'Non travel METs'!D10)&gt;2.5,(E10+'Non travel METs'!D10),0.1)</f>
        <v>10.559147415524631</v>
      </c>
      <c r="K10" s="372">
        <f>IF((F10+'Non travel METs'!E10)&gt;2.5,(F10+'Non travel METs'!E10),0.1)</f>
        <v>4.7707748300823045</v>
      </c>
      <c r="L10" s="372">
        <f>IF((G10+'Non travel METs'!F10)&gt;2.5,(G10+'Non travel METs'!F10),0.1)</f>
        <v>7.0718512980044155</v>
      </c>
      <c r="M10" s="372">
        <f>IF((H10+'Non travel METs'!G10)&gt;2.5,(H10+'Non travel METs'!G10),0.1)</f>
        <v>4.4438450737470596</v>
      </c>
      <c r="N10" s="380">
        <f>'Phy activity RRs'!$I$4</f>
        <v>0.94314906211536642</v>
      </c>
      <c r="O10" s="373">
        <f>IF(('user page'!$R$36=0),$N10^(I10^0.25),IF(('user page'!$R$36=1),$N10^(I10^0.5),IF(('user page'!$R$36=2),$N10^(I10^0.375),IF(('user page'!$R$36=4),$N10^(I10),IF(('user page'!$R$36=3),$N10^(LN(1+I10)),"")))))</f>
        <v>0.98166113424264856</v>
      </c>
      <c r="P10" s="373">
        <f>IF(('user page'!$R$36=0),$N10^(J10^0.25),IF(('user page'!$R$36=1),$N10^(J10^0.5),IF(('user page'!$R$36=2),$N10^(J10^0.375),IF(('user page'!$R$36=4),$N10^(J10),IF(('user page'!$R$36=3),$N10^(LN(1+J10)),"")))))</f>
        <v>0.82679760130023883</v>
      </c>
      <c r="Q10" s="373">
        <f>IF(('user page'!$R$36=0),$N10^(K10^0.25),IF(('user page'!$R$36=1),$N10^(K10^0.5),IF(('user page'!$R$36=2),$N10^(K10^0.375),IF(('user page'!$R$36=4),$N10^(K10),IF(('user page'!$R$36=3),$N10^(LN(1+K10)),"")))))</f>
        <v>0.87999075501748125</v>
      </c>
      <c r="R10" s="373">
        <f>IF(('user page'!$R$36=0),$N10^(L10^0.25),IF(('user page'!$R$36=1),$N10^(L10^0.5),IF(('user page'!$R$36=2),$N10^(L10^0.375),IF(('user page'!$R$36=4),$N10^(L10),IF(('user page'!$R$36=3),$N10^(LN(1+L10)),"")))))</f>
        <v>0.85585779627728409</v>
      </c>
      <c r="S10" s="373">
        <f>IF(('user page'!$R$36=0),$N10^(M10^0.25),IF(('user page'!$R$36=1),$N10^(M10^0.5),IF(('user page'!$R$36=2),$N10^(M10^0.375),IF(('user page'!$R$36=4),$N10^(M10),IF(('user page'!$R$36=3),$N10^(LN(1+M10)),"")))))</f>
        <v>0.88392264290446587</v>
      </c>
      <c r="T10" s="374">
        <f t="shared" si="0"/>
        <v>1</v>
      </c>
      <c r="U10" s="374">
        <f t="shared" si="0"/>
        <v>0.8422433897600653</v>
      </c>
      <c r="V10" s="374">
        <f t="shared" si="0"/>
        <v>0.89643026938862569</v>
      </c>
      <c r="W10" s="374">
        <f t="shared" si="0"/>
        <v>0.87184647168248974</v>
      </c>
      <c r="X10" s="374">
        <f t="shared" si="0"/>
        <v>0.90043561069208677</v>
      </c>
      <c r="Y10" s="379">
        <f t="shared" si="6"/>
        <v>-1.4187546562920428E-3</v>
      </c>
      <c r="Z10" s="381">
        <f t="shared" si="1"/>
        <v>1.001418754656292</v>
      </c>
      <c r="AA10" s="372">
        <f>Z10*GBDNZ!$E95/($T10+$W10+$X10+U10+V10)</f>
        <v>198.3740162144633</v>
      </c>
      <c r="AB10" s="376">
        <f t="shared" si="2"/>
        <v>167.07920385678773</v>
      </c>
      <c r="AC10" s="376">
        <f t="shared" si="2"/>
        <v>177.82847279483494</v>
      </c>
      <c r="AD10" s="376">
        <f t="shared" si="2"/>
        <v>172.95168611006483</v>
      </c>
      <c r="AE10" s="376">
        <f t="shared" si="2"/>
        <v>178.62302843551217</v>
      </c>
      <c r="AF10" s="372">
        <f>Z10*GBDNZ!$F95/($T10+$W10+$X10+U10+V10)</f>
        <v>1295.3433955571413</v>
      </c>
      <c r="AG10" s="376">
        <f t="shared" si="3"/>
        <v>1090.9944123773598</v>
      </c>
      <c r="AH10" s="376">
        <f t="shared" si="3"/>
        <v>1161.1850290300654</v>
      </c>
      <c r="AI10" s="376">
        <f t="shared" si="3"/>
        <v>1129.3405690337092</v>
      </c>
      <c r="AJ10" s="376">
        <f t="shared" si="3"/>
        <v>1166.3733214344559</v>
      </c>
      <c r="AK10" s="372">
        <f>Z10*GBDNZ!$G95/($T10+$W10+$X10+U10+V10)</f>
        <v>644.35865654516795</v>
      </c>
      <c r="AL10" s="376">
        <f t="shared" si="4"/>
        <v>542.70681910984399</v>
      </c>
      <c r="AM10" s="376">
        <f t="shared" si="4"/>
        <v>577.62260406967789</v>
      </c>
      <c r="AN10" s="376">
        <f t="shared" si="4"/>
        <v>561.78182120697386</v>
      </c>
      <c r="AO10" s="376">
        <f t="shared" si="4"/>
        <v>580.20348041098089</v>
      </c>
      <c r="AP10" s="372">
        <f t="shared" si="7"/>
        <v>1.2677830216629786</v>
      </c>
      <c r="AQ10" s="372">
        <f t="shared" si="8"/>
        <v>8.2783743327306638</v>
      </c>
      <c r="AR10" s="372">
        <f t="shared" si="9"/>
        <v>4.1180139426442111</v>
      </c>
      <c r="AS10" s="372">
        <f t="shared" si="5"/>
        <v>12.396388275374875</v>
      </c>
      <c r="AT10" s="371"/>
      <c r="AU10" s="371"/>
      <c r="AV10" s="371"/>
      <c r="AW10" s="371"/>
      <c r="AX10" s="371"/>
    </row>
    <row r="11" spans="1:50" x14ac:dyDescent="0.3">
      <c r="A11" s="364">
        <v>1</v>
      </c>
      <c r="B11" s="364">
        <v>2</v>
      </c>
      <c r="C11" s="364" t="s">
        <v>2</v>
      </c>
      <c r="D11" s="372"/>
      <c r="E11" s="372"/>
      <c r="F11" s="372"/>
      <c r="G11" s="372"/>
      <c r="H11" s="372"/>
      <c r="I11" s="372"/>
      <c r="J11" s="372"/>
      <c r="K11" s="372"/>
      <c r="L11" s="372"/>
      <c r="M11" s="372"/>
      <c r="N11" s="380"/>
      <c r="O11" s="373"/>
      <c r="P11" s="373"/>
      <c r="Q11" s="373"/>
      <c r="R11" s="373"/>
      <c r="S11" s="373"/>
      <c r="T11" s="374"/>
      <c r="U11" s="374"/>
      <c r="V11" s="374"/>
      <c r="W11" s="374"/>
      <c r="X11" s="374"/>
      <c r="Y11" s="379"/>
      <c r="Z11" s="381"/>
      <c r="AA11" s="372"/>
      <c r="AB11" s="376"/>
      <c r="AC11" s="376"/>
      <c r="AD11" s="376"/>
      <c r="AE11" s="376"/>
      <c r="AF11" s="372"/>
      <c r="AG11" s="376"/>
      <c r="AH11" s="376"/>
      <c r="AI11" s="376"/>
      <c r="AJ11" s="376"/>
      <c r="AK11" s="372"/>
      <c r="AL11" s="376"/>
      <c r="AM11" s="376"/>
      <c r="AN11" s="376"/>
      <c r="AO11" s="376"/>
      <c r="AP11" s="372"/>
      <c r="AQ11" s="372"/>
      <c r="AR11" s="372"/>
      <c r="AS11" s="372"/>
      <c r="AT11" s="371"/>
      <c r="AU11" s="371"/>
      <c r="AV11" s="371"/>
      <c r="AW11" s="371"/>
      <c r="AX11" s="371"/>
    </row>
    <row r="12" spans="1:50" x14ac:dyDescent="0.3">
      <c r="A12" s="364">
        <v>1</v>
      </c>
      <c r="B12" s="364">
        <v>2</v>
      </c>
      <c r="C12" s="364" t="s">
        <v>40</v>
      </c>
      <c r="D12" s="372"/>
      <c r="E12" s="372"/>
      <c r="F12" s="372"/>
      <c r="G12" s="372"/>
      <c r="H12" s="372"/>
      <c r="I12" s="372"/>
      <c r="J12" s="372"/>
      <c r="K12" s="372"/>
      <c r="L12" s="372"/>
      <c r="M12" s="372"/>
      <c r="N12" s="380"/>
      <c r="O12" s="373"/>
      <c r="P12" s="373"/>
      <c r="Q12" s="373"/>
      <c r="R12" s="373"/>
      <c r="S12" s="373"/>
      <c r="T12" s="374"/>
      <c r="U12" s="374"/>
      <c r="V12" s="374"/>
      <c r="W12" s="374"/>
      <c r="X12" s="374"/>
      <c r="Y12" s="379"/>
      <c r="Z12" s="381"/>
      <c r="AA12" s="372"/>
      <c r="AB12" s="376"/>
      <c r="AC12" s="376"/>
      <c r="AD12" s="376"/>
      <c r="AE12" s="376"/>
      <c r="AF12" s="372"/>
      <c r="AG12" s="376"/>
      <c r="AH12" s="376"/>
      <c r="AI12" s="376"/>
      <c r="AJ12" s="376"/>
      <c r="AK12" s="372"/>
      <c r="AL12" s="376"/>
      <c r="AM12" s="376"/>
      <c r="AN12" s="376"/>
      <c r="AO12" s="376"/>
      <c r="AP12" s="372"/>
      <c r="AQ12" s="372"/>
      <c r="AR12" s="372"/>
      <c r="AS12" s="372"/>
      <c r="AT12" s="371"/>
      <c r="AU12" s="371"/>
      <c r="AV12" s="371"/>
      <c r="AW12" s="371"/>
      <c r="AX12" s="371"/>
    </row>
    <row r="13" spans="1:50" x14ac:dyDescent="0.3">
      <c r="A13" s="364">
        <v>1</v>
      </c>
      <c r="B13" s="364">
        <v>2</v>
      </c>
      <c r="C13" s="364" t="s">
        <v>39</v>
      </c>
      <c r="D13" s="372">
        <f>Scenario!AN29</f>
        <v>0.36317941114117153</v>
      </c>
      <c r="E13" s="372">
        <f>Scenario!AO29</f>
        <v>0.86605713906863857</v>
      </c>
      <c r="F13" s="372">
        <f>Scenario!AP29</f>
        <v>1.5810666461632132</v>
      </c>
      <c r="G13" s="372">
        <f>Scenario!AQ29</f>
        <v>2.8863820028064824</v>
      </c>
      <c r="H13" s="372">
        <f>Scenario!AR29</f>
        <v>6.8830216221648746</v>
      </c>
      <c r="I13" s="372">
        <f>IF((D13+'Non travel METs'!C13)&gt;2.5,(D13+'Non travel METs'!C13),0.1)</f>
        <v>9.2298460778078422</v>
      </c>
      <c r="J13" s="372">
        <f>IF((E13+'Non travel METs'!D13)&gt;2.5,(E13+'Non travel METs'!D13),0.1)</f>
        <v>25.466057139068639</v>
      </c>
      <c r="K13" s="372">
        <f>IF((F13+'Non travel METs'!E13)&gt;2.5,(F13+'Non travel METs'!E13),0.1)</f>
        <v>31.431066646163213</v>
      </c>
      <c r="L13" s="372">
        <f>IF((G13+'Non travel METs'!F13)&gt;2.5,(G13+'Non travel METs'!F13),0.1)</f>
        <v>33.286382002806484</v>
      </c>
      <c r="M13" s="372">
        <f>IF((H13+'Non travel METs'!G13)&gt;2.5,(H13+'Non travel METs'!G13),0.1)</f>
        <v>47.883021622164875</v>
      </c>
      <c r="N13" s="380">
        <f>'Phy activity RRs'!$I$4</f>
        <v>0.94314906211536642</v>
      </c>
      <c r="O13" s="373">
        <f>IF(('user page'!$R$36=0),$N13^(I13^0.25),IF(('user page'!$R$36=1),$N13^(I13^0.5),IF(('user page'!$R$36=2),$N13^(I13^0.375),IF(('user page'!$R$36=4),$N13^(I13),IF(('user page'!$R$36=3),$N13^(LN(1+I13)),"")))))</f>
        <v>0.83709236791984731</v>
      </c>
      <c r="P13" s="373">
        <f>IF(('user page'!$R$36=0),$N13^(J13^0.25),IF(('user page'!$R$36=1),$N13^(J13^0.5),IF(('user page'!$R$36=2),$N13^(J13^0.375),IF(('user page'!$R$36=4),$N13^(J13),IF(('user page'!$R$36=3),$N13^(LN(1+J13)),"")))))</f>
        <v>0.74425618941672256</v>
      </c>
      <c r="Q13" s="373">
        <f>IF(('user page'!$R$36=0),$N13^(K13^0.25),IF(('user page'!$R$36=1),$N13^(K13^0.5),IF(('user page'!$R$36=2),$N13^(K13^0.375),IF(('user page'!$R$36=4),$N13^(K13),IF(('user page'!$R$36=3),$N13^(LN(1+K13)),"")))))</f>
        <v>0.72025898701908653</v>
      </c>
      <c r="R13" s="373">
        <f>IF(('user page'!$R$36=0),$N13^(L13^0.25),IF(('user page'!$R$36=1),$N13^(L13^0.5),IF(('user page'!$R$36=2),$N13^(L13^0.375),IF(('user page'!$R$36=4),$N13^(L13),IF(('user page'!$R$36=3),$N13^(LN(1+L13)),"")))))</f>
        <v>0.71341609645476645</v>
      </c>
      <c r="S13" s="373">
        <f>IF(('user page'!$R$36=0),$N13^(M13^0.25),IF(('user page'!$R$36=1),$N13^(M13^0.5),IF(('user page'!$R$36=2),$N13^(M13^0.375),IF(('user page'!$R$36=4),$N13^(M13),IF(('user page'!$R$36=3),$N13^(LN(1+M13)),"")))))</f>
        <v>0.66696360916248598</v>
      </c>
      <c r="T13" s="374">
        <f t="shared" ref="T13:X18" si="10">O13/$O13</f>
        <v>1</v>
      </c>
      <c r="U13" s="374">
        <f t="shared" si="10"/>
        <v>0.8890968523177194</v>
      </c>
      <c r="V13" s="374">
        <f t="shared" si="10"/>
        <v>0.86042952321846067</v>
      </c>
      <c r="W13" s="374">
        <f t="shared" si="10"/>
        <v>0.85225492884087195</v>
      </c>
      <c r="X13" s="374">
        <f t="shared" si="10"/>
        <v>0.79676226271166839</v>
      </c>
      <c r="Y13" s="379">
        <f t="shared" si="6"/>
        <v>-7.3728056098798511E-4</v>
      </c>
      <c r="Z13" s="381">
        <f t="shared" ref="Z13:Z18" si="11">SUM(O13:S13)/SUM(O30:S30)</f>
        <v>1.000737280560988</v>
      </c>
      <c r="AA13" s="372">
        <f>Z13*GBDNZ!$E98/($T13+$W13+$X13+U13+V13)</f>
        <v>0</v>
      </c>
      <c r="AB13" s="376">
        <f t="shared" ref="AB13:AE18" si="12">$AA13*U13</f>
        <v>0</v>
      </c>
      <c r="AC13" s="376">
        <f t="shared" si="12"/>
        <v>0</v>
      </c>
      <c r="AD13" s="376">
        <f t="shared" si="12"/>
        <v>0</v>
      </c>
      <c r="AE13" s="376">
        <f t="shared" si="12"/>
        <v>0</v>
      </c>
      <c r="AF13" s="372">
        <f>Z13*GBDNZ!$F98/($T13+$W13+$X13+U13+V13)</f>
        <v>0</v>
      </c>
      <c r="AG13" s="376">
        <f t="shared" ref="AG13:AJ18" si="13">$AF13*U13</f>
        <v>0</v>
      </c>
      <c r="AH13" s="376">
        <f t="shared" si="13"/>
        <v>0</v>
      </c>
      <c r="AI13" s="376">
        <f t="shared" si="13"/>
        <v>0</v>
      </c>
      <c r="AJ13" s="376">
        <f t="shared" si="13"/>
        <v>0</v>
      </c>
      <c r="AK13" s="372">
        <f>Z13*GBDNZ!$G98/($T13+$W13+$X13+U13+V13)</f>
        <v>0</v>
      </c>
      <c r="AL13" s="376">
        <f t="shared" ref="AL13:AO18" si="14">$AK13*U13</f>
        <v>0</v>
      </c>
      <c r="AM13" s="376">
        <f t="shared" si="14"/>
        <v>0</v>
      </c>
      <c r="AN13" s="376">
        <f t="shared" si="14"/>
        <v>0</v>
      </c>
      <c r="AO13" s="376">
        <f t="shared" si="14"/>
        <v>0</v>
      </c>
      <c r="AP13" s="372">
        <f t="shared" si="7"/>
        <v>0</v>
      </c>
      <c r="AQ13" s="372">
        <f t="shared" si="8"/>
        <v>0</v>
      </c>
      <c r="AR13" s="372">
        <f t="shared" si="9"/>
        <v>0</v>
      </c>
      <c r="AS13" s="372">
        <f t="shared" ref="AS13:AS18" si="15">AQ13+AR13</f>
        <v>0</v>
      </c>
      <c r="AT13" s="371"/>
      <c r="AU13" s="371"/>
      <c r="AV13" s="371"/>
      <c r="AW13" s="371"/>
      <c r="AX13" s="371"/>
    </row>
    <row r="14" spans="1:50" x14ac:dyDescent="0.3">
      <c r="A14" s="364">
        <v>1</v>
      </c>
      <c r="B14" s="364">
        <v>2</v>
      </c>
      <c r="C14" s="364" t="s">
        <v>38</v>
      </c>
      <c r="D14" s="372">
        <f>Scenario!AN30</f>
        <v>0.30288827772466836</v>
      </c>
      <c r="E14" s="372">
        <f>Scenario!AO30</f>
        <v>0.72228366261017962</v>
      </c>
      <c r="F14" s="372">
        <f>Scenario!AP30</f>
        <v>1.3185949939165058</v>
      </c>
      <c r="G14" s="372">
        <f>Scenario!AQ30</f>
        <v>2.4072159568145346</v>
      </c>
      <c r="H14" s="372">
        <f>Scenario!AR30</f>
        <v>5.7403765211480957</v>
      </c>
      <c r="I14" s="372">
        <f>IF((D14+'Non travel METs'!C14)&gt;2.5,(D14+'Non travel METs'!C14),0.1)</f>
        <v>41.302888277724669</v>
      </c>
      <c r="J14" s="372">
        <f>IF((E14+'Non travel METs'!D14)&gt;2.5,(E14+'Non travel METs'!D14),0.1)</f>
        <v>36.597283662610181</v>
      </c>
      <c r="K14" s="372">
        <f>IF((F14+'Non travel METs'!E14)&gt;2.5,(F14+'Non travel METs'!E14),0.1)</f>
        <v>40.168594993916507</v>
      </c>
      <c r="L14" s="372">
        <f>IF((G14+'Non travel METs'!F14)&gt;2.5,(G14+'Non travel METs'!F14),0.1)</f>
        <v>43.407215956814532</v>
      </c>
      <c r="M14" s="372">
        <f>IF((H14+'Non travel METs'!G14)&gt;2.5,(H14+'Non travel METs'!G14),0.1)</f>
        <v>48.007043187814794</v>
      </c>
      <c r="N14" s="380">
        <f>'Phy activity RRs'!$I$4</f>
        <v>0.94314906211536642</v>
      </c>
      <c r="O14" s="373">
        <f>IF(('user page'!$R$36=0),$N14^(I14^0.25),IF(('user page'!$R$36=1),$N14^(I14^0.5),IF(('user page'!$R$36=2),$N14^(I14^0.375),IF(('user page'!$R$36=4),$N14^(I14),IF(('user page'!$R$36=3),$N14^(LN(1+I14)),"")))))</f>
        <v>0.68649065811317844</v>
      </c>
      <c r="P14" s="373">
        <f>IF(('user page'!$R$36=0),$N14^(J14^0.25),IF(('user page'!$R$36=1),$N14^(J14^0.5),IF(('user page'!$R$36=2),$N14^(J14^0.375),IF(('user page'!$R$36=4),$N14^(J14),IF(('user page'!$R$36=3),$N14^(LN(1+J14)),"")))))</f>
        <v>0.70181395407867531</v>
      </c>
      <c r="Q14" s="373">
        <f>IF(('user page'!$R$36=0),$N14^(K14^0.25),IF(('user page'!$R$36=1),$N14^(K14^0.5),IF(('user page'!$R$36=2),$N14^(K14^0.375),IF(('user page'!$R$36=4),$N14^(K14),IF(('user page'!$R$36=3),$N14^(LN(1+K14)),"")))))</f>
        <v>0.69007053503782434</v>
      </c>
      <c r="R14" s="373">
        <f>IF(('user page'!$R$36=0),$N14^(L14^0.25),IF(('user page'!$R$36=1),$N14^(L14^0.5),IF(('user page'!$R$36=2),$N14^(L14^0.375),IF(('user page'!$R$36=4),$N14^(L14),IF(('user page'!$R$36=3),$N14^(LN(1+L14)),"")))))</f>
        <v>0.68002472760610899</v>
      </c>
      <c r="S14" s="373">
        <f>IF(('user page'!$R$36=0),$N14^(M14^0.25),IF(('user page'!$R$36=1),$N14^(M14^0.5),IF(('user page'!$R$36=2),$N14^(M14^0.375),IF(('user page'!$R$36=4),$N14^(M14),IF(('user page'!$R$36=3),$N14^(LN(1+M14)),"")))))</f>
        <v>0.66661409136947525</v>
      </c>
      <c r="T14" s="374">
        <f t="shared" si="10"/>
        <v>1</v>
      </c>
      <c r="U14" s="374">
        <f t="shared" si="10"/>
        <v>1.0223212010016465</v>
      </c>
      <c r="V14" s="374">
        <f t="shared" si="10"/>
        <v>1.0052147496580437</v>
      </c>
      <c r="W14" s="374">
        <f t="shared" si="10"/>
        <v>0.99058118208798196</v>
      </c>
      <c r="X14" s="374">
        <f t="shared" si="10"/>
        <v>0.97104612202832596</v>
      </c>
      <c r="Y14" s="379">
        <f t="shared" si="6"/>
        <v>-5.3713216039508183E-4</v>
      </c>
      <c r="Z14" s="381">
        <f t="shared" si="11"/>
        <v>1.0005371321603951</v>
      </c>
      <c r="AA14" s="372">
        <f>Z14*GBDNZ!$E99/($T14+$W14+$X14+U14+V14)</f>
        <v>1.2513668212093263E-3</v>
      </c>
      <c r="AB14" s="376">
        <f t="shared" si="12"/>
        <v>1.279298831552331E-3</v>
      </c>
      <c r="AC14" s="376">
        <f t="shared" si="12"/>
        <v>1.2578923859123149E-3</v>
      </c>
      <c r="AD14" s="376">
        <f t="shared" si="12"/>
        <v>1.2395804249792149E-3</v>
      </c>
      <c r="AE14" s="376">
        <f t="shared" si="12"/>
        <v>1.2151348989702297E-3</v>
      </c>
      <c r="AF14" s="372">
        <f>Z14*GBDNZ!$F99/($T14+$W14+$X14+U14+V14)</f>
        <v>5.5812619767726071E-2</v>
      </c>
      <c r="AG14" s="376">
        <f t="shared" si="13"/>
        <v>5.7058424471989951E-2</v>
      </c>
      <c r="AH14" s="376">
        <f t="shared" si="13"/>
        <v>5.610366860757434E-2</v>
      </c>
      <c r="AI14" s="376">
        <f t="shared" si="13"/>
        <v>5.5286930864941158E-2</v>
      </c>
      <c r="AJ14" s="376">
        <f t="shared" si="13"/>
        <v>5.4196627985691886E-2</v>
      </c>
      <c r="AK14" s="372">
        <f>Z14*GBDNZ!$G99/($T14+$W14+$X14+U14+V14)</f>
        <v>0.40175508603750731</v>
      </c>
      <c r="AL14" s="376">
        <f t="shared" si="14"/>
        <v>0.41072274206638426</v>
      </c>
      <c r="AM14" s="376">
        <f t="shared" si="14"/>
        <v>0.40385013823503874</v>
      </c>
      <c r="AN14" s="376">
        <f t="shared" si="14"/>
        <v>0.39797102803689288</v>
      </c>
      <c r="AO14" s="376">
        <f t="shared" si="14"/>
        <v>0.39012271830187795</v>
      </c>
      <c r="AP14" s="372">
        <f t="shared" si="7"/>
        <v>3.3516626234181193E-6</v>
      </c>
      <c r="AQ14" s="372">
        <f t="shared" si="8"/>
        <v>1.4948859792340147E-4</v>
      </c>
      <c r="AR14" s="372">
        <f t="shared" si="9"/>
        <v>1.0760613777006101E-3</v>
      </c>
      <c r="AS14" s="372">
        <f t="shared" si="15"/>
        <v>1.2255499756240115E-3</v>
      </c>
      <c r="AT14" s="371"/>
      <c r="AU14" s="371"/>
      <c r="AV14" s="371"/>
      <c r="AW14" s="371"/>
      <c r="AX14" s="371"/>
    </row>
    <row r="15" spans="1:50" x14ac:dyDescent="0.3">
      <c r="A15" s="364">
        <v>1</v>
      </c>
      <c r="B15" s="364">
        <v>2</v>
      </c>
      <c r="C15" s="364" t="s">
        <v>37</v>
      </c>
      <c r="D15" s="372">
        <f>Scenario!AN31</f>
        <v>0.44144644170812064</v>
      </c>
      <c r="E15" s="372">
        <f>Scenario!AO31</f>
        <v>1.0526969057977646</v>
      </c>
      <c r="F15" s="372">
        <f>Scenario!AP31</f>
        <v>1.9217946382451725</v>
      </c>
      <c r="G15" s="372">
        <f>Scenario!AQ31</f>
        <v>3.5084121661676253</v>
      </c>
      <c r="H15" s="372">
        <f>Scenario!AR31</f>
        <v>8.3663481741911028</v>
      </c>
      <c r="I15" s="372">
        <f>IF((D15+'Non travel METs'!C15)&gt;2.5,(D15+'Non travel METs'!C15),0.1)</f>
        <v>42.091446441708122</v>
      </c>
      <c r="J15" s="372">
        <f>IF((E15+'Non travel METs'!D15)&gt;2.5,(E15+'Non travel METs'!D15),0.1)</f>
        <v>44.102696905797764</v>
      </c>
      <c r="K15" s="372">
        <f>IF((F15+'Non travel METs'!E15)&gt;2.5,(F15+'Non travel METs'!E15),0.1)</f>
        <v>47.988461304911873</v>
      </c>
      <c r="L15" s="372">
        <f>IF((G15+'Non travel METs'!F15)&gt;2.5,(G15+'Non travel METs'!F15),0.1)</f>
        <v>44.508412166167624</v>
      </c>
      <c r="M15" s="372">
        <f>IF((H15+'Non travel METs'!G15)&gt;2.5,(H15+'Non travel METs'!G15),0.1)</f>
        <v>49.366348174191103</v>
      </c>
      <c r="N15" s="380">
        <f>'Phy activity RRs'!$I$4</f>
        <v>0.94314906211536642</v>
      </c>
      <c r="O15" s="373">
        <f>IF(('user page'!$R$36=0),$N15^(I15^0.25),IF(('user page'!$R$36=1),$N15^(I15^0.5),IF(('user page'!$R$36=2),$N15^(I15^0.375),IF(('user page'!$R$36=4),$N15^(I15),IF(('user page'!$R$36=3),$N15^(LN(1+I15)),"")))))</f>
        <v>0.68404159717653623</v>
      </c>
      <c r="P15" s="373">
        <f>IF(('user page'!$R$36=0),$N15^(J15^0.25),IF(('user page'!$R$36=1),$N15^(J15^0.5),IF(('user page'!$R$36=2),$N15^(J15^0.375),IF(('user page'!$R$36=4),$N15^(J15),IF(('user page'!$R$36=3),$N15^(LN(1+J15)),"")))))</f>
        <v>0.6779354929226511</v>
      </c>
      <c r="Q15" s="373">
        <f>IF(('user page'!$R$36=0),$N15^(K15^0.25),IF(('user page'!$R$36=1),$N15^(K15^0.5),IF(('user page'!$R$36=2),$N15^(K15^0.375),IF(('user page'!$R$36=4),$N15^(K15),IF(('user page'!$R$36=3),$N15^(LN(1+K15)),"")))))</f>
        <v>0.66666641842336849</v>
      </c>
      <c r="R15" s="373">
        <f>IF(('user page'!$R$36=0),$N15^(L15^0.25),IF(('user page'!$R$36=1),$N15^(L15^0.5),IF(('user page'!$R$36=2),$N15^(L15^0.375),IF(('user page'!$R$36=4),$N15^(L15),IF(('user page'!$R$36=3),$N15^(LN(1+L15)),"")))))</f>
        <v>0.67672726198825228</v>
      </c>
      <c r="S15" s="373">
        <f>IF(('user page'!$R$36=0),$N15^(M15^0.25),IF(('user page'!$R$36=1),$N15^(M15^0.5),IF(('user page'!$R$36=2),$N15^(M15^0.375),IF(('user page'!$R$36=4),$N15^(M15),IF(('user page'!$R$36=3),$N15^(LN(1+M15)),"")))))</f>
        <v>0.66282430383418833</v>
      </c>
      <c r="T15" s="374">
        <f t="shared" si="10"/>
        <v>1</v>
      </c>
      <c r="U15" s="374">
        <f t="shared" si="10"/>
        <v>0.9910734898592588</v>
      </c>
      <c r="V15" s="374">
        <f t="shared" si="10"/>
        <v>0.97459923661823222</v>
      </c>
      <c r="W15" s="374">
        <f t="shared" si="10"/>
        <v>0.98930717778206068</v>
      </c>
      <c r="X15" s="374">
        <f t="shared" si="10"/>
        <v>0.9689824516083162</v>
      </c>
      <c r="Y15" s="379">
        <f t="shared" si="6"/>
        <v>-5.7693834470340377E-4</v>
      </c>
      <c r="Z15" s="381">
        <f t="shared" si="11"/>
        <v>1.0005769383447034</v>
      </c>
      <c r="AA15" s="372">
        <f>Z15*GBDNZ!$E100/($T15+$W15+$X15+U15+V15)</f>
        <v>1.0054072741451137</v>
      </c>
      <c r="AB15" s="376">
        <f t="shared" si="12"/>
        <v>0.99643249591688232</v>
      </c>
      <c r="AC15" s="376">
        <f t="shared" si="12"/>
        <v>0.97986916187224549</v>
      </c>
      <c r="AD15" s="376">
        <f t="shared" si="12"/>
        <v>0.99465663290605699</v>
      </c>
      <c r="AE15" s="376">
        <f t="shared" si="12"/>
        <v>0.9742220053659667</v>
      </c>
      <c r="AF15" s="372">
        <f>Z15*GBDNZ!$F100/($T15+$W15+$X15+U15+V15)</f>
        <v>31.652664316885271</v>
      </c>
      <c r="AG15" s="376">
        <f t="shared" si="13"/>
        <v>31.37011648787912</v>
      </c>
      <c r="AH15" s="376">
        <f t="shared" si="13"/>
        <v>30.848662480169544</v>
      </c>
      <c r="AI15" s="376">
        <f t="shared" si="13"/>
        <v>31.314208004620706</v>
      </c>
      <c r="AJ15" s="376">
        <f t="shared" si="13"/>
        <v>30.670876269710558</v>
      </c>
      <c r="AK15" s="372">
        <f>Z15*GBDNZ!$G100/($T15+$W15+$X15+U15+V15)</f>
        <v>33.027018334107552</v>
      </c>
      <c r="AL15" s="376">
        <f t="shared" si="14"/>
        <v>32.732202320029693</v>
      </c>
      <c r="AM15" s="376">
        <f t="shared" si="14"/>
        <v>32.188106856197578</v>
      </c>
      <c r="AN15" s="376">
        <f t="shared" si="14"/>
        <v>32.673866298672316</v>
      </c>
      <c r="AO15" s="376">
        <f t="shared" si="14"/>
        <v>32.002601194696346</v>
      </c>
      <c r="AP15" s="372">
        <f t="shared" si="7"/>
        <v>2.8545369062654702E-3</v>
      </c>
      <c r="AQ15" s="372">
        <f t="shared" si="8"/>
        <v>8.9867758865199932E-2</v>
      </c>
      <c r="AR15" s="372">
        <f t="shared" si="9"/>
        <v>9.3769803703473542E-2</v>
      </c>
      <c r="AS15" s="372">
        <f t="shared" si="15"/>
        <v>0.18363756256867347</v>
      </c>
      <c r="AT15" s="371"/>
      <c r="AU15" s="371"/>
      <c r="AV15" s="371"/>
      <c r="AW15" s="371"/>
      <c r="AX15" s="371"/>
    </row>
    <row r="16" spans="1:50" x14ac:dyDescent="0.3">
      <c r="A16" s="364">
        <v>1</v>
      </c>
      <c r="B16" s="364">
        <v>2</v>
      </c>
      <c r="C16" s="364" t="s">
        <v>36</v>
      </c>
      <c r="D16" s="372">
        <f>Scenario!AN32</f>
        <v>0.3316861829647314</v>
      </c>
      <c r="E16" s="372">
        <f>Scenario!AO32</f>
        <v>0.79095669488646103</v>
      </c>
      <c r="F16" s="372">
        <f>Scenario!AP32</f>
        <v>1.4439639054177522</v>
      </c>
      <c r="G16" s="372">
        <f>Scenario!AQ32</f>
        <v>2.6360883897045526</v>
      </c>
      <c r="H16" s="372">
        <f>Scenario!AR32</f>
        <v>6.2861580229616978</v>
      </c>
      <c r="I16" s="372">
        <f>IF((D16+'Non travel METs'!C16)&gt;2.5,(D16+'Non travel METs'!C16),0.1)</f>
        <v>33.131686182964728</v>
      </c>
      <c r="J16" s="372">
        <f>IF((E16+'Non travel METs'!D16)&gt;2.5,(E16+'Non travel METs'!D16),0.1)</f>
        <v>18.790956694886461</v>
      </c>
      <c r="K16" s="372">
        <f>IF((F16+'Non travel METs'!E16)&gt;2.5,(F16+'Non travel METs'!E16),0.1)</f>
        <v>33.193963905417753</v>
      </c>
      <c r="L16" s="372">
        <f>IF((G16+'Non travel METs'!F16)&gt;2.5,(G16+'Non travel METs'!F16),0.1)</f>
        <v>23.136088389704554</v>
      </c>
      <c r="M16" s="372">
        <f>IF((H16+'Non travel METs'!G16)&gt;2.5,(H16+'Non travel METs'!G16),0.1)</f>
        <v>10.786158022961697</v>
      </c>
      <c r="N16" s="380">
        <f>'Phy activity RRs'!$I$4</f>
        <v>0.94314906211536642</v>
      </c>
      <c r="O16" s="373">
        <f>IF(('user page'!$R$36=0),$N16^(I16^0.25),IF(('user page'!$R$36=1),$N16^(I16^0.5),IF(('user page'!$R$36=2),$N16^(I16^0.375),IF(('user page'!$R$36=4),$N16^(I16),IF(('user page'!$R$36=3),$N16^(LN(1+I16)),"")))))</f>
        <v>0.71397678248654639</v>
      </c>
      <c r="P16" s="373">
        <f>IF(('user page'!$R$36=0),$N16^(J16^0.25),IF(('user page'!$R$36=1),$N16^(J16^0.5),IF(('user page'!$R$36=2),$N16^(J16^0.375),IF(('user page'!$R$36=4),$N16^(J16),IF(('user page'!$R$36=3),$N16^(LN(1+J16)),"")))))</f>
        <v>0.77590666138152264</v>
      </c>
      <c r="Q16" s="373">
        <f>IF(('user page'!$R$36=0),$N16^(K16^0.25),IF(('user page'!$R$36=1),$N16^(K16^0.5),IF(('user page'!$R$36=2),$N16^(K16^0.375),IF(('user page'!$R$36=4),$N16^(K16),IF(('user page'!$R$36=3),$N16^(LN(1+K16)),"")))))</f>
        <v>0.71375085043099606</v>
      </c>
      <c r="R16" s="373">
        <f>IF(('user page'!$R$36=0),$N16^(L16^0.25),IF(('user page'!$R$36=1),$N16^(L16^0.5),IF(('user page'!$R$36=2),$N16^(L16^0.375),IF(('user page'!$R$36=4),$N16^(L16),IF(('user page'!$R$36=3),$N16^(LN(1+L16)),"")))))</f>
        <v>0.75462545837508144</v>
      </c>
      <c r="S16" s="373">
        <f>IF(('user page'!$R$36=0),$N16^(M16^0.25),IF(('user page'!$R$36=1),$N16^(M16^0.5),IF(('user page'!$R$36=2),$N16^(M16^0.375),IF(('user page'!$R$36=4),$N16^(M16),IF(('user page'!$R$36=3),$N16^(LN(1+M16)),"")))))</f>
        <v>0.82511791079874375</v>
      </c>
      <c r="T16" s="374">
        <f t="shared" si="10"/>
        <v>1</v>
      </c>
      <c r="U16" s="374">
        <f t="shared" si="10"/>
        <v>1.0867393456119048</v>
      </c>
      <c r="V16" s="374">
        <f t="shared" si="10"/>
        <v>0.99968355825974697</v>
      </c>
      <c r="W16" s="374">
        <f t="shared" si="10"/>
        <v>1.056932769924211</v>
      </c>
      <c r="X16" s="374">
        <f t="shared" si="10"/>
        <v>1.1556649054120911</v>
      </c>
      <c r="Y16" s="379">
        <f t="shared" si="6"/>
        <v>-1.2601877147446761E-3</v>
      </c>
      <c r="Z16" s="381">
        <f t="shared" si="11"/>
        <v>1.0012601877147447</v>
      </c>
      <c r="AA16" s="372">
        <f>Z16*GBDNZ!$E101/($T16+$W16+$X16+U16+V16)</f>
        <v>6.9537327928225254</v>
      </c>
      <c r="AB16" s="376">
        <f t="shared" si="12"/>
        <v>7.5568950248319942</v>
      </c>
      <c r="AC16" s="376">
        <f t="shared" si="12"/>
        <v>6.9515323415163097</v>
      </c>
      <c r="AD16" s="376">
        <f t="shared" si="12"/>
        <v>7.3496280620307317</v>
      </c>
      <c r="AE16" s="376">
        <f t="shared" si="12"/>
        <v>8.0361849502781997</v>
      </c>
      <c r="AF16" s="372">
        <f>Z16*GBDNZ!$F101/($T16+$W16+$X16+U16+V16)</f>
        <v>160.51100699323243</v>
      </c>
      <c r="AG16" s="376">
        <f t="shared" si="13"/>
        <v>174.43362670333329</v>
      </c>
      <c r="AH16" s="376">
        <f t="shared" si="13"/>
        <v>160.46021461084973</v>
      </c>
      <c r="AI16" s="376">
        <f t="shared" si="13"/>
        <v>169.64934322468156</v>
      </c>
      <c r="AJ16" s="376">
        <f t="shared" si="13"/>
        <v>185.49693771443344</v>
      </c>
      <c r="AK16" s="372">
        <f>Z16*GBDNZ!$G101/($T16+$W16+$X16+U16+V16)</f>
        <v>118.8606652503952</v>
      </c>
      <c r="AL16" s="376">
        <f t="shared" si="14"/>
        <v>129.17056157321014</v>
      </c>
      <c r="AM16" s="376">
        <f t="shared" si="14"/>
        <v>118.82305277463573</v>
      </c>
      <c r="AN16" s="376">
        <f t="shared" si="14"/>
        <v>125.62773215813462</v>
      </c>
      <c r="AO16" s="376">
        <f t="shared" si="14"/>
        <v>137.36309946381618</v>
      </c>
      <c r="AP16" s="372">
        <f t="shared" si="7"/>
        <v>4.637691947976208E-2</v>
      </c>
      <c r="AQ16" s="372">
        <f t="shared" si="8"/>
        <v>1.0705050465305135</v>
      </c>
      <c r="AR16" s="372">
        <f t="shared" si="9"/>
        <v>0.79272409019193901</v>
      </c>
      <c r="AS16" s="372">
        <f t="shared" si="15"/>
        <v>1.8632291367224525</v>
      </c>
      <c r="AT16" s="371"/>
      <c r="AU16" s="371"/>
      <c r="AV16" s="371"/>
      <c r="AW16" s="371"/>
      <c r="AX16" s="371"/>
    </row>
    <row r="17" spans="1:50" x14ac:dyDescent="0.3">
      <c r="A17" s="364">
        <v>1</v>
      </c>
      <c r="B17" s="364">
        <v>2</v>
      </c>
      <c r="C17" s="364" t="s">
        <v>35</v>
      </c>
      <c r="D17" s="372">
        <f>Scenario!AN33</f>
        <v>0.28952396631326538</v>
      </c>
      <c r="E17" s="372">
        <f>Scenario!AO33</f>
        <v>0.69041440749405425</v>
      </c>
      <c r="F17" s="372">
        <f>Scenario!AP33</f>
        <v>1.2604147491853572</v>
      </c>
      <c r="G17" s="372">
        <f>Scenario!AQ33</f>
        <v>2.3010025902127014</v>
      </c>
      <c r="H17" s="372">
        <f>Scenario!AR33</f>
        <v>5.4870944198279963</v>
      </c>
      <c r="I17" s="372">
        <f>IF((D17+'Non travel METs'!C17)&gt;2.5,(D17+'Non travel METs'!C17),0.1)</f>
        <v>6.1228572996465953</v>
      </c>
      <c r="J17" s="372">
        <f>IF((E17+'Non travel METs'!D17)&gt;2.5,(E17+'Non travel METs'!D17),0.1)</f>
        <v>5.6904144074940541</v>
      </c>
      <c r="K17" s="372">
        <f>IF((F17+'Non travel METs'!E17)&gt;2.5,(F17+'Non travel METs'!E17),0.1)</f>
        <v>3.7604147491853572</v>
      </c>
      <c r="L17" s="372">
        <f>IF((G17+'Non travel METs'!F17)&gt;2.5,(G17+'Non travel METs'!F17),0.1)</f>
        <v>6.0510025902127014</v>
      </c>
      <c r="M17" s="372">
        <f>IF((H17+'Non travel METs'!G17)&gt;2.5,(H17+'Non travel METs'!G17),0.1)</f>
        <v>5.4870944198279963</v>
      </c>
      <c r="N17" s="380">
        <f>'Phy activity RRs'!$I$4</f>
        <v>0.94314906211536642</v>
      </c>
      <c r="O17" s="373">
        <f>IF(('user page'!$R$36=0),$N17^(I17^0.25),IF(('user page'!$R$36=1),$N17^(I17^0.5),IF(('user page'!$R$36=2),$N17^(I17^0.375),IF(('user page'!$R$36=4),$N17^(I17),IF(('user page'!$R$36=3),$N17^(LN(1+I17)),"")))))</f>
        <v>0.8651682018707133</v>
      </c>
      <c r="P17" s="373">
        <f>IF(('user page'!$R$36=0),$N17^(J17^0.25),IF(('user page'!$R$36=1),$N17^(J17^0.5),IF(('user page'!$R$36=2),$N17^(J17^0.375),IF(('user page'!$R$36=4),$N17^(J17),IF(('user page'!$R$36=3),$N17^(LN(1+J17)),"")))))</f>
        <v>0.86968591770277059</v>
      </c>
      <c r="Q17" s="373">
        <f>IF(('user page'!$R$36=0),$N17^(K17^0.25),IF(('user page'!$R$36=1),$N17^(K17^0.5),IF(('user page'!$R$36=2),$N17^(K17^0.375),IF(('user page'!$R$36=4),$N17^(K17),IF(('user page'!$R$36=3),$N17^(LN(1+K17)),"")))))</f>
        <v>0.8927024499199393</v>
      </c>
      <c r="R17" s="373">
        <f>IF(('user page'!$R$36=0),$N17^(L17^0.25),IF(('user page'!$R$36=1),$N17^(L17^0.5),IF(('user page'!$R$36=2),$N17^(L17^0.375),IF(('user page'!$R$36=4),$N17^(L17),IF(('user page'!$R$36=3),$N17^(LN(1+L17)),"")))))</f>
        <v>0.86590593468444366</v>
      </c>
      <c r="S17" s="373">
        <f>IF(('user page'!$R$36=0),$N17^(M17^0.25),IF(('user page'!$R$36=1),$N17^(M17^0.5),IF(('user page'!$R$36=2),$N17^(M17^0.375),IF(('user page'!$R$36=4),$N17^(M17),IF(('user page'!$R$36=3),$N17^(LN(1+M17)),"")))))</f>
        <v>0.87187773895024578</v>
      </c>
      <c r="T17" s="374">
        <f t="shared" si="10"/>
        <v>1</v>
      </c>
      <c r="U17" s="374">
        <f t="shared" si="10"/>
        <v>1.0052217774789791</v>
      </c>
      <c r="V17" s="374">
        <f t="shared" si="10"/>
        <v>1.0318253121065821</v>
      </c>
      <c r="W17" s="374">
        <f t="shared" si="10"/>
        <v>1.0008527044939182</v>
      </c>
      <c r="X17" s="374">
        <f t="shared" si="10"/>
        <v>1.0077551822466715</v>
      </c>
      <c r="Y17" s="379">
        <f t="shared" si="6"/>
        <v>-1.585273090096484E-3</v>
      </c>
      <c r="Z17" s="381">
        <f t="shared" si="11"/>
        <v>1.0015852730900965</v>
      </c>
      <c r="AA17" s="372">
        <f>Z17*GBDNZ!$E102/($T17+$W17+$X17+U17+V17)</f>
        <v>30.540274924937354</v>
      </c>
      <c r="AB17" s="376">
        <f t="shared" si="12"/>
        <v>30.699749444742221</v>
      </c>
      <c r="AC17" s="376">
        <f t="shared" si="12"/>
        <v>31.512228706244308</v>
      </c>
      <c r="AD17" s="376">
        <f t="shared" si="12"/>
        <v>30.566316754611343</v>
      </c>
      <c r="AE17" s="376">
        <f t="shared" si="12"/>
        <v>30.777120322843693</v>
      </c>
      <c r="AF17" s="372">
        <f>Z17*GBDNZ!$F102/($T17+$W17+$X17+U17+V17)</f>
        <v>441.68203142060139</v>
      </c>
      <c r="AG17" s="376">
        <f t="shared" si="13"/>
        <v>443.98839670514326</v>
      </c>
      <c r="AH17" s="376">
        <f t="shared" si="13"/>
        <v>455.73869992243124</v>
      </c>
      <c r="AI17" s="376">
        <f t="shared" si="13"/>
        <v>442.05865567367664</v>
      </c>
      <c r="AJ17" s="376">
        <f t="shared" si="13"/>
        <v>445.10735606934821</v>
      </c>
      <c r="AK17" s="372">
        <f>Z17*GBDNZ!$G102/($T17+$W17+$X17+U17+V17)</f>
        <v>367.06635844653641</v>
      </c>
      <c r="AL17" s="376">
        <f t="shared" si="14"/>
        <v>368.98309729036339</v>
      </c>
      <c r="AM17" s="376">
        <f t="shared" si="14"/>
        <v>378.74835986792397</v>
      </c>
      <c r="AN17" s="376">
        <f t="shared" si="14"/>
        <v>367.37935757994995</v>
      </c>
      <c r="AO17" s="376">
        <f t="shared" si="14"/>
        <v>369.91302495291137</v>
      </c>
      <c r="AP17" s="372">
        <f t="shared" si="7"/>
        <v>0.24389710737889558</v>
      </c>
      <c r="AQ17" s="372">
        <f t="shared" si="8"/>
        <v>3.5273084512007813</v>
      </c>
      <c r="AR17" s="372">
        <f t="shared" si="9"/>
        <v>2.9314216476851129</v>
      </c>
      <c r="AS17" s="372">
        <f t="shared" si="15"/>
        <v>6.4587300988858942</v>
      </c>
      <c r="AT17" s="371"/>
      <c r="AU17" s="371"/>
      <c r="AV17" s="371"/>
      <c r="AW17" s="371"/>
      <c r="AX17" s="371"/>
    </row>
    <row r="18" spans="1:50" x14ac:dyDescent="0.3">
      <c r="A18" s="364">
        <v>1</v>
      </c>
      <c r="B18" s="364">
        <v>2</v>
      </c>
      <c r="C18" s="364" t="s">
        <v>34</v>
      </c>
      <c r="D18" s="372">
        <f>Scenario!AN34</f>
        <v>0.16944759244251412</v>
      </c>
      <c r="E18" s="372">
        <f>Scenario!AO34</f>
        <v>0.40407383411883097</v>
      </c>
      <c r="F18" s="372">
        <f>Scenario!AP34</f>
        <v>0.73767380106076064</v>
      </c>
      <c r="G18" s="372">
        <f>Scenario!AQ34</f>
        <v>1.346691101536166</v>
      </c>
      <c r="H18" s="372">
        <f>Scenario!AR34</f>
        <v>3.211391964486249</v>
      </c>
      <c r="I18" s="372">
        <f>IF((D18+'Non travel METs'!C18)&gt;2.5,(D18+'Non travel METs'!C18),0.1)</f>
        <v>6.6694475924425145</v>
      </c>
      <c r="J18" s="372">
        <f>IF((E18+'Non travel METs'!D18)&gt;2.5,(E18+'Non travel METs'!D18),0.1)</f>
        <v>3.5290738341188308</v>
      </c>
      <c r="K18" s="372">
        <f>IF((F18+'Non travel METs'!E18)&gt;2.5,(F18+'Non travel METs'!E18),0.1)</f>
        <v>0.1</v>
      </c>
      <c r="L18" s="372">
        <f>IF((G18+'Non travel METs'!F18)&gt;2.5,(G18+'Non travel METs'!F18),0.1)</f>
        <v>0.1</v>
      </c>
      <c r="M18" s="372">
        <f>IF((H18+'Non travel METs'!G18)&gt;2.5,(H18+'Non travel METs'!G18),0.1)</f>
        <v>3.211391964486249</v>
      </c>
      <c r="N18" s="380">
        <f>'Phy activity RRs'!$I$4</f>
        <v>0.94314906211536642</v>
      </c>
      <c r="O18" s="373">
        <f>IF(('user page'!$R$36=0),$N18^(I18^0.25),IF(('user page'!$R$36=1),$N18^(I18^0.5),IF(('user page'!$R$36=2),$N18^(I18^0.375),IF(('user page'!$R$36=4),$N18^(I18),IF(('user page'!$R$36=3),$N18^(LN(1+I18)),"")))))</f>
        <v>0.85971207224616919</v>
      </c>
      <c r="P18" s="373">
        <f>IF(('user page'!$R$36=0),$N18^(J18^0.25),IF(('user page'!$R$36=1),$N18^(J18^0.5),IF(('user page'!$R$36=2),$N18^(J18^0.375),IF(('user page'!$R$36=4),$N18^(J18),IF(('user page'!$R$36=3),$N18^(LN(1+J18)),"")))))</f>
        <v>0.89587425296173273</v>
      </c>
      <c r="Q18" s="373">
        <f>IF(('user page'!$R$36=0),$N18^(K18^0.25),IF(('user page'!$R$36=1),$N18^(K18^0.5),IF(('user page'!$R$36=2),$N18^(K18^0.375),IF(('user page'!$R$36=4),$N18^(K18),IF(('user page'!$R$36=3),$N18^(LN(1+K18)),"")))))</f>
        <v>0.98166113424264856</v>
      </c>
      <c r="R18" s="373">
        <f>IF(('user page'!$R$36=0),$N18^(L18^0.25),IF(('user page'!$R$36=1),$N18^(L18^0.5),IF(('user page'!$R$36=2),$N18^(L18^0.375),IF(('user page'!$R$36=4),$N18^(L18),IF(('user page'!$R$36=3),$N18^(LN(1+L18)),"")))))</f>
        <v>0.98166113424264856</v>
      </c>
      <c r="S18" s="373">
        <f>IF(('user page'!$R$36=0),$N18^(M18^0.25),IF(('user page'!$R$36=1),$N18^(M18^0.5),IF(('user page'!$R$36=2),$N18^(M18^0.375),IF(('user page'!$R$36=4),$N18^(M18),IF(('user page'!$R$36=3),$N18^(LN(1+M18)),"")))))</f>
        <v>0.90042398855841232</v>
      </c>
      <c r="T18" s="374">
        <f t="shared" si="10"/>
        <v>1</v>
      </c>
      <c r="U18" s="374">
        <f t="shared" si="10"/>
        <v>1.0420631300675849</v>
      </c>
      <c r="V18" s="374">
        <f t="shared" si="10"/>
        <v>1.1418487257924193</v>
      </c>
      <c r="W18" s="374">
        <f t="shared" si="10"/>
        <v>1.1418487257924193</v>
      </c>
      <c r="X18" s="374">
        <f t="shared" si="10"/>
        <v>1.0473552921106193</v>
      </c>
      <c r="Y18" s="379">
        <f t="shared" si="6"/>
        <v>-8.2625455528018144E-4</v>
      </c>
      <c r="Z18" s="381">
        <f t="shared" si="11"/>
        <v>1.0008262545552802</v>
      </c>
      <c r="AA18" s="372">
        <f>Z18*GBDNZ!$E103/($T18+$W18+$X18+U18+V18)</f>
        <v>258.09266572292029</v>
      </c>
      <c r="AB18" s="376">
        <f t="shared" si="12"/>
        <v>268.94885109071316</v>
      </c>
      <c r="AC18" s="376">
        <f t="shared" si="12"/>
        <v>294.70278149208531</v>
      </c>
      <c r="AD18" s="376">
        <f t="shared" si="12"/>
        <v>294.70278149208531</v>
      </c>
      <c r="AE18" s="376">
        <f t="shared" si="12"/>
        <v>270.31471929983758</v>
      </c>
      <c r="AF18" s="372">
        <f>Z18*GBDNZ!$F103/($T18+$W18+$X18+U18+V18)</f>
        <v>1473.8280150049509</v>
      </c>
      <c r="AG18" s="376">
        <f t="shared" si="13"/>
        <v>1535.8218344973545</v>
      </c>
      <c r="AH18" s="376">
        <f t="shared" si="13"/>
        <v>1682.8886409705738</v>
      </c>
      <c r="AI18" s="376">
        <f t="shared" si="13"/>
        <v>1682.8886409705738</v>
      </c>
      <c r="AJ18" s="376">
        <f t="shared" si="13"/>
        <v>1543.6215711763246</v>
      </c>
      <c r="AK18" s="372">
        <f>Z18*GBDNZ!$G103/($T18+$W18+$X18+U18+V18)</f>
        <v>1375.0740197725374</v>
      </c>
      <c r="AL18" s="376">
        <f t="shared" si="14"/>
        <v>1432.9139371187864</v>
      </c>
      <c r="AM18" s="376">
        <f t="shared" si="14"/>
        <v>1570.1265173475317</v>
      </c>
      <c r="AN18" s="376">
        <f t="shared" si="14"/>
        <v>1570.1265173475317</v>
      </c>
      <c r="AO18" s="376">
        <f t="shared" si="14"/>
        <v>1440.1910516525895</v>
      </c>
      <c r="AP18" s="372">
        <f t="shared" si="7"/>
        <v>1.1448722976418821</v>
      </c>
      <c r="AQ18" s="372">
        <f t="shared" si="8"/>
        <v>6.537748219777086</v>
      </c>
      <c r="AR18" s="372">
        <f t="shared" si="9"/>
        <v>6.0996857389766319</v>
      </c>
      <c r="AS18" s="372">
        <f t="shared" si="15"/>
        <v>12.637433958753718</v>
      </c>
      <c r="AT18" s="371"/>
      <c r="AU18" s="371"/>
      <c r="AV18" s="371"/>
      <c r="AW18" s="371"/>
      <c r="AX18" s="371"/>
    </row>
    <row r="19" spans="1:50" x14ac:dyDescent="0.3">
      <c r="A19" s="364"/>
      <c r="B19" s="364"/>
      <c r="C19" s="364"/>
      <c r="D19" s="372"/>
      <c r="E19" s="372"/>
      <c r="F19" s="372"/>
      <c r="G19" s="372"/>
      <c r="H19" s="372"/>
      <c r="I19" s="372"/>
      <c r="J19" s="372"/>
      <c r="K19" s="372"/>
      <c r="L19" s="372"/>
      <c r="M19" s="372"/>
      <c r="N19" s="373"/>
      <c r="O19" s="373"/>
      <c r="P19" s="373"/>
      <c r="Q19" s="373"/>
      <c r="R19" s="373"/>
      <c r="S19" s="373"/>
      <c r="T19" s="374"/>
      <c r="U19" s="374"/>
      <c r="V19" s="374"/>
      <c r="W19" s="374"/>
      <c r="X19" s="374"/>
      <c r="Y19" s="374"/>
      <c r="Z19" s="376"/>
      <c r="AA19" s="372"/>
      <c r="AB19" s="376"/>
      <c r="AC19" s="376"/>
      <c r="AD19" s="376"/>
      <c r="AE19" s="376"/>
      <c r="AF19" s="372"/>
      <c r="AG19" s="372"/>
      <c r="AH19" s="372"/>
      <c r="AI19" s="376"/>
      <c r="AJ19" s="376"/>
      <c r="AK19" s="372"/>
      <c r="AL19" s="372"/>
      <c r="AM19" s="372"/>
      <c r="AN19" s="376"/>
      <c r="AO19" s="376"/>
      <c r="AP19" s="383">
        <f>SUM(AP3:AP18)</f>
        <v>2.9760445638068287</v>
      </c>
      <c r="AQ19" s="383">
        <f>SUM(AQ3:AQ18)</f>
        <v>23.690030791926176</v>
      </c>
      <c r="AR19" s="383">
        <f>SUM(AR3:AR18)</f>
        <v>16.284319673553842</v>
      </c>
      <c r="AS19" s="383">
        <f>SUM(AS3:AS18)</f>
        <v>39.974350465480022</v>
      </c>
      <c r="AT19" s="371"/>
      <c r="AU19" s="371"/>
      <c r="AV19" s="371"/>
      <c r="AW19" s="371"/>
      <c r="AX19" s="371"/>
    </row>
    <row r="20" spans="1:50" x14ac:dyDescent="0.3">
      <c r="A20" s="364">
        <v>0</v>
      </c>
      <c r="B20" s="364">
        <v>1</v>
      </c>
      <c r="C20" s="364" t="s">
        <v>2</v>
      </c>
      <c r="D20" s="372"/>
      <c r="E20" s="372"/>
      <c r="F20" s="372"/>
      <c r="G20" s="372"/>
      <c r="H20" s="372"/>
      <c r="I20" s="372"/>
      <c r="J20" s="372"/>
      <c r="K20" s="372"/>
      <c r="L20" s="372"/>
      <c r="M20" s="372"/>
      <c r="N20" s="373"/>
      <c r="O20" s="373"/>
      <c r="P20" s="373"/>
      <c r="Q20" s="373"/>
      <c r="R20" s="373"/>
      <c r="S20" s="373"/>
      <c r="T20" s="374"/>
      <c r="U20" s="374"/>
      <c r="V20" s="374"/>
      <c r="W20" s="374"/>
      <c r="X20" s="374"/>
      <c r="Y20" s="374"/>
      <c r="Z20" s="376"/>
      <c r="AA20" s="372"/>
      <c r="AB20" s="376"/>
      <c r="AC20" s="376"/>
      <c r="AD20" s="376"/>
      <c r="AE20" s="376"/>
      <c r="AF20" s="372"/>
      <c r="AG20" s="372"/>
      <c r="AH20" s="372"/>
      <c r="AI20" s="376"/>
      <c r="AJ20" s="376"/>
      <c r="AK20" s="372"/>
      <c r="AL20" s="372"/>
      <c r="AM20" s="372"/>
      <c r="AN20" s="376"/>
      <c r="AO20" s="376"/>
      <c r="AP20" s="32">
        <f>AP19/GBDNZ!E104</f>
        <v>1.119290616987691E-3</v>
      </c>
      <c r="AQ20" s="32">
        <f>AQ19/GBDNZ!F104</f>
        <v>1.1844924692074933E-3</v>
      </c>
      <c r="AR20" s="32">
        <f>AR19/GBDNZ!G104</f>
        <v>1.109751676674734E-3</v>
      </c>
      <c r="AS20" s="32">
        <f>AS19/GBDNZ!H104</f>
        <v>1.1528625824952924E-3</v>
      </c>
      <c r="AT20" s="371"/>
      <c r="AU20" s="371"/>
      <c r="AV20" s="371"/>
      <c r="AW20" s="371"/>
      <c r="AX20" s="371"/>
    </row>
    <row r="21" spans="1:50" x14ac:dyDescent="0.3">
      <c r="A21" s="364">
        <v>0</v>
      </c>
      <c r="B21" s="364">
        <v>1</v>
      </c>
      <c r="C21" s="364" t="s">
        <v>40</v>
      </c>
      <c r="D21" s="372"/>
      <c r="E21" s="372"/>
      <c r="F21" s="372"/>
      <c r="G21" s="372"/>
      <c r="H21" s="372"/>
      <c r="I21" s="372"/>
      <c r="J21" s="372"/>
      <c r="K21" s="372"/>
      <c r="L21" s="372"/>
      <c r="M21" s="372"/>
      <c r="N21" s="373"/>
      <c r="O21" s="373"/>
      <c r="P21" s="373"/>
      <c r="Q21" s="373"/>
      <c r="R21" s="373"/>
      <c r="S21" s="373"/>
      <c r="T21" s="374"/>
      <c r="U21" s="374"/>
      <c r="V21" s="374"/>
      <c r="W21" s="374"/>
      <c r="X21" s="374"/>
      <c r="Y21" s="374"/>
      <c r="Z21" s="376"/>
      <c r="AA21" s="372"/>
      <c r="AB21" s="376"/>
      <c r="AC21" s="376"/>
      <c r="AD21" s="376"/>
      <c r="AE21" s="376"/>
      <c r="AF21" s="372"/>
      <c r="AG21" s="372"/>
      <c r="AH21" s="372"/>
      <c r="AI21" s="376"/>
      <c r="AJ21" s="376"/>
      <c r="AK21" s="372"/>
      <c r="AL21" s="372"/>
      <c r="AM21" s="372"/>
      <c r="AN21" s="376"/>
      <c r="AO21" s="376"/>
      <c r="AP21" s="373"/>
      <c r="AQ21" s="373"/>
      <c r="AR21" s="373"/>
      <c r="AS21" s="373"/>
      <c r="AT21" s="371"/>
      <c r="AU21" s="371"/>
      <c r="AV21" s="371"/>
      <c r="AW21" s="371"/>
      <c r="AX21" s="371"/>
    </row>
    <row r="22" spans="1:50" x14ac:dyDescent="0.3">
      <c r="A22" s="364">
        <v>0</v>
      </c>
      <c r="B22" s="364">
        <v>1</v>
      </c>
      <c r="C22" s="364" t="s">
        <v>39</v>
      </c>
      <c r="D22" s="372">
        <f>Baseline!AN21</f>
        <v>0.39368586167290764</v>
      </c>
      <c r="E22" s="372">
        <f>Baseline!AO21</f>
        <v>0.93738511466315355</v>
      </c>
      <c r="F22" s="372">
        <f>Baseline!AP21</f>
        <v>1.7094900770477317</v>
      </c>
      <c r="G22" s="372">
        <f>Baseline!AQ21</f>
        <v>3.117562118078649</v>
      </c>
      <c r="H22" s="372">
        <f>Baseline!AR21</f>
        <v>7.4230664802300845</v>
      </c>
      <c r="I22" s="372">
        <f>IF((D22+'Non travel METs'!C22)&gt;2.5,(D22+'Non travel METs'!C22),0.1)</f>
        <v>58.193685861672904</v>
      </c>
      <c r="J22" s="372">
        <f>IF((E22+'Non travel METs'!D22)&gt;2.5,(E22+'Non travel METs'!D22),0.1)</f>
        <v>41.937385114663151</v>
      </c>
      <c r="K22" s="372">
        <f>IF((F22+'Non travel METs'!E22)&gt;2.5,(F22+'Non travel METs'!E22),0.1)</f>
        <v>47.209490077047732</v>
      </c>
      <c r="L22" s="372">
        <f>IF((G22+'Non travel METs'!F22)&gt;2.5,(G22+'Non travel METs'!F22),0.1)</f>
        <v>41.042562118078649</v>
      </c>
      <c r="M22" s="372">
        <f>IF((H22+'Non travel METs'!G22)&gt;2.5,(H22+'Non travel METs'!G22),0.1)</f>
        <v>48.423066480230084</v>
      </c>
      <c r="N22" s="380">
        <f t="shared" ref="N22:N27" si="16">N5</f>
        <v>0.94314906211536642</v>
      </c>
      <c r="O22" s="373">
        <f>IF(('user page'!$R$36=0),$N22^(I22^0.25),IF(('user page'!$R$36=1),$N22^(I22^0.5),IF(('user page'!$R$36=2),$N22^(I22^0.375),IF(('user page'!$R$36=4),$N22^(I22),IF(('user page'!$R$36=3),$N22^(LN(1+I22)),"")))))</f>
        <v>0.63986248188005757</v>
      </c>
      <c r="P22" s="373">
        <f>IF(('user page'!$R$36=0),$N22^(J22^0.25),IF(('user page'!$R$36=1),$N22^(J22^0.5),IF(('user page'!$R$36=2),$N22^(J22^0.375),IF(('user page'!$R$36=4),$N22^(J22),IF(('user page'!$R$36=3),$N22^(LN(1+J22)),"")))))</f>
        <v>0.68451757168710325</v>
      </c>
      <c r="Q22" s="373">
        <f>IF(('user page'!$R$36=0),$N22^(K22^0.25),IF(('user page'!$R$36=1),$N22^(K22^0.5),IF(('user page'!$R$36=2),$N22^(K22^0.375),IF(('user page'!$R$36=4),$N22^(K22),IF(('user page'!$R$36=3),$N22^(LN(1+K22)),"")))))</f>
        <v>0.66887293922710833</v>
      </c>
      <c r="R22" s="373">
        <f>IF(('user page'!$R$36=0),$N22^(L22^0.25),IF(('user page'!$R$36=1),$N22^(L22^0.5),IF(('user page'!$R$36=2),$N22^(L22^0.375),IF(('user page'!$R$36=4),$N22^(L22),IF(('user page'!$R$36=3),$N22^(LN(1+L22)),"")))))</f>
        <v>0.6873062286096393</v>
      </c>
      <c r="S22" s="373">
        <f>IF(('user page'!$R$36=0),$N22^(M22^0.25),IF(('user page'!$R$36=1),$N22^(M22^0.5),IF(('user page'!$R$36=2),$N22^(M22^0.375),IF(('user page'!$R$36=4),$N22^(M22),IF(('user page'!$R$36=3),$N22^(LN(1+M22)),"")))))</f>
        <v>0.66544626950884811</v>
      </c>
      <c r="T22" s="374">
        <f t="shared" ref="T22:X27" si="17">O22/$O22</f>
        <v>1</v>
      </c>
      <c r="U22" s="374">
        <f t="shared" si="17"/>
        <v>1.0697885734382162</v>
      </c>
      <c r="V22" s="374">
        <f t="shared" si="17"/>
        <v>1.0453385815993017</v>
      </c>
      <c r="W22" s="374">
        <f t="shared" si="17"/>
        <v>1.0741467863378729</v>
      </c>
      <c r="X22" s="374">
        <f t="shared" si="17"/>
        <v>1.0399832594554064</v>
      </c>
      <c r="Y22" s="374"/>
      <c r="Z22" s="376"/>
      <c r="AA22" s="372">
        <f>GBDNZ!E90/($T22+$W22+$X22+U22+V22)</f>
        <v>0</v>
      </c>
      <c r="AB22" s="376">
        <f t="shared" ref="AB22:AE27" si="18">$AA22*U22</f>
        <v>0</v>
      </c>
      <c r="AC22" s="376">
        <f t="shared" si="18"/>
        <v>0</v>
      </c>
      <c r="AD22" s="376">
        <f t="shared" si="18"/>
        <v>0</v>
      </c>
      <c r="AE22" s="376">
        <f t="shared" si="18"/>
        <v>0</v>
      </c>
      <c r="AF22" s="372">
        <f>GBDNZ!F90/($T22+$W22+$X22+U22+V22)</f>
        <v>0</v>
      </c>
      <c r="AG22" s="376">
        <f t="shared" ref="AG22:AJ27" si="19">$AF22*U22</f>
        <v>0</v>
      </c>
      <c r="AH22" s="376">
        <f t="shared" si="19"/>
        <v>0</v>
      </c>
      <c r="AI22" s="376">
        <f t="shared" si="19"/>
        <v>0</v>
      </c>
      <c r="AJ22" s="376">
        <f t="shared" si="19"/>
        <v>0</v>
      </c>
      <c r="AK22" s="372">
        <f>GBDNZ!G90/($T22+$W22+$X22+U22+V22)</f>
        <v>0</v>
      </c>
      <c r="AL22" s="376">
        <f t="shared" ref="AL22:AO27" si="20">U22*$AK22</f>
        <v>0</v>
      </c>
      <c r="AM22" s="376">
        <f t="shared" si="20"/>
        <v>0</v>
      </c>
      <c r="AN22" s="376">
        <f t="shared" si="20"/>
        <v>0</v>
      </c>
      <c r="AO22" s="376">
        <f t="shared" si="20"/>
        <v>0</v>
      </c>
      <c r="AP22" s="373"/>
      <c r="AQ22" s="373"/>
      <c r="AR22" s="373"/>
      <c r="AS22" s="373"/>
      <c r="AT22" s="371"/>
      <c r="AU22" s="371"/>
      <c r="AV22" s="371"/>
      <c r="AW22" s="371"/>
      <c r="AX22" s="371"/>
    </row>
    <row r="23" spans="1:50" x14ac:dyDescent="0.3">
      <c r="A23" s="364">
        <v>0</v>
      </c>
      <c r="B23" s="364">
        <v>1</v>
      </c>
      <c r="C23" s="364" t="s">
        <v>38</v>
      </c>
      <c r="D23" s="372">
        <f>Baseline!AN22</f>
        <v>0.25162211131265011</v>
      </c>
      <c r="E23" s="372">
        <f>Baseline!AO22</f>
        <v>0.59912444064491777</v>
      </c>
      <c r="F23" s="372">
        <f>Baseline!AP22</f>
        <v>1.092610998594</v>
      </c>
      <c r="G23" s="372">
        <f>Baseline!AQ22</f>
        <v>1.9925723493495484</v>
      </c>
      <c r="H23" s="372">
        <f>Baseline!AR22</f>
        <v>4.7444113238730328</v>
      </c>
      <c r="I23" s="372">
        <f>IF((D23+'Non travel METs'!C23)&gt;2.5,(D23+'Non travel METs'!C23),0.1)</f>
        <v>51.501622111312649</v>
      </c>
      <c r="J23" s="372">
        <f>IF((E23+'Non travel METs'!D23)&gt;2.5,(E23+'Non travel METs'!D23),0.1)</f>
        <v>51.849124440644921</v>
      </c>
      <c r="K23" s="372">
        <f>IF((F23+'Non travel METs'!E23)&gt;2.5,(F23+'Non travel METs'!E23),0.1)</f>
        <v>65.842610998593997</v>
      </c>
      <c r="L23" s="372">
        <f>IF((G23+'Non travel METs'!F23)&gt;2.5,(G23+'Non travel METs'!F23),0.1)</f>
        <v>48.117572349349551</v>
      </c>
      <c r="M23" s="372">
        <f>IF((H23+'Non travel METs'!G23)&gt;2.5,(H23+'Non travel METs'!G23),0.1)</f>
        <v>49.544411323873028</v>
      </c>
      <c r="N23" s="380">
        <f t="shared" si="16"/>
        <v>0.94314906211536642</v>
      </c>
      <c r="O23" s="373">
        <f>IF(('user page'!$R$36=0),$N23^(I23^0.25),IF(('user page'!$R$36=1),$N23^(I23^0.5),IF(('user page'!$R$36=2),$N23^(I23^0.375),IF(('user page'!$R$36=4),$N23^(I23),IF(('user page'!$R$36=3),$N23^(LN(1+I23)),"")))))</f>
        <v>0.65701718459728597</v>
      </c>
      <c r="P23" s="373">
        <f>IF(('user page'!$R$36=0),$N23^(J23^0.25),IF(('user page'!$R$36=1),$N23^(J23^0.5),IF(('user page'!$R$36=2),$N23^(J23^0.375),IF(('user page'!$R$36=4),$N23^(J23),IF(('user page'!$R$36=3),$N23^(LN(1+J23)),"")))))</f>
        <v>0.6560883432021356</v>
      </c>
      <c r="Q23" s="373">
        <f>IF(('user page'!$R$36=0),$N23^(K23^0.25),IF(('user page'!$R$36=1),$N23^(K23^0.5),IF(('user page'!$R$36=2),$N23^(K23^0.375),IF(('user page'!$R$36=4),$N23^(K23),IF(('user page'!$R$36=3),$N23^(LN(1+K23)),"")))))</f>
        <v>0.62192220195426506</v>
      </c>
      <c r="R23" s="373">
        <f>IF(('user page'!$R$36=0),$N23^(L23^0.25),IF(('user page'!$R$36=1),$N23^(L23^0.5),IF(('user page'!$R$36=2),$N23^(L23^0.375),IF(('user page'!$R$36=4),$N23^(L23),IF(('user page'!$R$36=3),$N23^(LN(1+L23)),"")))))</f>
        <v>0.66630313225449667</v>
      </c>
      <c r="S23" s="373">
        <f>IF(('user page'!$R$36=0),$N23^(M23^0.25),IF(('user page'!$R$36=1),$N23^(M23^0.5),IF(('user page'!$R$36=2),$N23^(M23^0.375),IF(('user page'!$R$36=4),$N23^(M23),IF(('user page'!$R$36=3),$N23^(LN(1+M23)),"")))))</f>
        <v>0.66233332761066077</v>
      </c>
      <c r="T23" s="374">
        <f t="shared" si="17"/>
        <v>1</v>
      </c>
      <c r="U23" s="374">
        <f t="shared" si="17"/>
        <v>0.99858627534115463</v>
      </c>
      <c r="V23" s="374">
        <f t="shared" si="17"/>
        <v>0.94658437638197834</v>
      </c>
      <c r="W23" s="374">
        <f t="shared" si="17"/>
        <v>1.0141334928140464</v>
      </c>
      <c r="X23" s="374">
        <f t="shared" si="17"/>
        <v>1.0080913302391523</v>
      </c>
      <c r="Y23" s="374"/>
      <c r="Z23" s="376"/>
      <c r="AA23" s="372">
        <f>GBDNZ!E91/($T23+$W23+$X23+U23+V23)</f>
        <v>5.1623397271695283E-4</v>
      </c>
      <c r="AB23" s="376">
        <f t="shared" si="18"/>
        <v>5.1550416001998919E-4</v>
      </c>
      <c r="AC23" s="376">
        <f t="shared" si="18"/>
        <v>4.8865901313146804E-4</v>
      </c>
      <c r="AD23" s="376">
        <f t="shared" si="18"/>
        <v>5.2353016186071453E-4</v>
      </c>
      <c r="AE23" s="376">
        <f t="shared" si="18"/>
        <v>5.2041099227087529E-4</v>
      </c>
      <c r="AF23" s="372">
        <f>GBDNZ!F91/($T23+$W23+$X23+U23+V23)</f>
        <v>2.3039731662426829E-2</v>
      </c>
      <c r="AG23" s="376">
        <f t="shared" si="19"/>
        <v>2.3007159825642477E-2</v>
      </c>
      <c r="AH23" s="376">
        <f t="shared" si="19"/>
        <v>2.1809050027686423E-2</v>
      </c>
      <c r="AI23" s="376">
        <f t="shared" si="19"/>
        <v>2.3365363544315298E-2</v>
      </c>
      <c r="AJ23" s="376">
        <f t="shared" si="19"/>
        <v>2.3226153739928979E-2</v>
      </c>
      <c r="AK23" s="372">
        <f>GBDNZ!G91/($T23+$W23+$X23+U23+V23)</f>
        <v>0.33834887412012993</v>
      </c>
      <c r="AL23" s="376">
        <f t="shared" si="20"/>
        <v>0.33787054197349375</v>
      </c>
      <c r="AM23" s="376">
        <f t="shared" si="20"/>
        <v>0.32027575800854768</v>
      </c>
      <c r="AN23" s="376">
        <f t="shared" si="20"/>
        <v>0.34313092550114749</v>
      </c>
      <c r="AO23" s="376">
        <f t="shared" si="20"/>
        <v>0.3410865665966813</v>
      </c>
      <c r="AP23" s="373"/>
      <c r="AQ23" s="373"/>
      <c r="AR23" s="373"/>
      <c r="AS23" s="373"/>
      <c r="AT23" s="371"/>
      <c r="AU23" s="371"/>
      <c r="AV23" s="371"/>
      <c r="AW23" s="371"/>
      <c r="AX23" s="371"/>
    </row>
    <row r="24" spans="1:50" x14ac:dyDescent="0.3">
      <c r="A24" s="364">
        <v>0</v>
      </c>
      <c r="B24" s="364">
        <v>1</v>
      </c>
      <c r="C24" s="364" t="s">
        <v>37</v>
      </c>
      <c r="D24" s="372">
        <f>Baseline!AN23</f>
        <v>0.44656832716641398</v>
      </c>
      <c r="E24" s="372">
        <f>Baseline!AO23</f>
        <v>1.0633008276878868</v>
      </c>
      <c r="F24" s="372">
        <f>Baseline!AP23</f>
        <v>1.9391199896557647</v>
      </c>
      <c r="G24" s="372">
        <f>Baseline!AQ23</f>
        <v>3.5363334969455225</v>
      </c>
      <c r="H24" s="372">
        <f>Baseline!AR23</f>
        <v>8.4201814269764306</v>
      </c>
      <c r="I24" s="372">
        <f>IF((D24+'Non travel METs'!C24)&gt;2.5,(D24+'Non travel METs'!C24),0.1)</f>
        <v>58.721568327166409</v>
      </c>
      <c r="J24" s="372">
        <f>IF((E24+'Non travel METs'!D24)&gt;2.5,(E24+'Non travel METs'!D24),0.1)</f>
        <v>62.56330082768789</v>
      </c>
      <c r="K24" s="372">
        <f>IF((F24+'Non travel METs'!E24)&gt;2.5,(F24+'Non travel METs'!E24),0.1)</f>
        <v>55.664119989655767</v>
      </c>
      <c r="L24" s="372">
        <f>IF((G24+'Non travel METs'!F24)&gt;2.5,(G24+'Non travel METs'!F24),0.1)</f>
        <v>55.736333496945527</v>
      </c>
      <c r="M24" s="372">
        <f>IF((H24+'Non travel METs'!G24)&gt;2.5,(H24+'Non travel METs'!G24),0.1)</f>
        <v>55.12018142697643</v>
      </c>
      <c r="N24" s="380">
        <f t="shared" si="16"/>
        <v>0.94314906211536642</v>
      </c>
      <c r="O24" s="373">
        <f>IF(('user page'!$R$36=0),$N24^(I24^0.25),IF(('user page'!$R$36=1),$N24^(I24^0.5),IF(('user page'!$R$36=2),$N24^(I24^0.375),IF(('user page'!$R$36=4),$N24^(I24),IF(('user page'!$R$36=3),$N24^(LN(1+I24)),"")))))</f>
        <v>0.63857090224265567</v>
      </c>
      <c r="P24" s="373">
        <f>IF(('user page'!$R$36=0),$N24^(J24^0.25),IF(('user page'!$R$36=1),$N24^(J24^0.5),IF(('user page'!$R$36=2),$N24^(J24^0.375),IF(('user page'!$R$36=4),$N24^(J24),IF(('user page'!$R$36=3),$N24^(LN(1+J24)),"")))))</f>
        <v>0.62941657995504996</v>
      </c>
      <c r="Q24" s="373">
        <f>IF(('user page'!$R$36=0),$N24^(K24^0.25),IF(('user page'!$R$36=1),$N24^(K24^0.5),IF(('user page'!$R$36=2),$N24^(K24^0.375),IF(('user page'!$R$36=4),$N24^(K24),IF(('user page'!$R$36=3),$N24^(LN(1+K24)),"")))))</f>
        <v>0.6461717781705798</v>
      </c>
      <c r="R24" s="373">
        <f>IF(('user page'!$R$36=0),$N24^(L24^0.25),IF(('user page'!$R$36=1),$N24^(L24^0.5),IF(('user page'!$R$36=2),$N24^(L24^0.375),IF(('user page'!$R$36=4),$N24^(L24),IF(('user page'!$R$36=3),$N24^(LN(1+L24)),"")))))</f>
        <v>0.64598882836343863</v>
      </c>
      <c r="S24" s="373">
        <f>IF(('user page'!$R$36=0),$N24^(M24^0.25),IF(('user page'!$R$36=1),$N24^(M24^0.5),IF(('user page'!$R$36=2),$N24^(M24^0.375),IF(('user page'!$R$36=4),$N24^(M24),IF(('user page'!$R$36=3),$N24^(LN(1+M24)),"")))))</f>
        <v>0.64755532874435384</v>
      </c>
      <c r="T24" s="374">
        <f t="shared" si="17"/>
        <v>1</v>
      </c>
      <c r="U24" s="374">
        <f t="shared" si="17"/>
        <v>0.98566436044070316</v>
      </c>
      <c r="V24" s="374">
        <f t="shared" si="17"/>
        <v>1.0119029475054844</v>
      </c>
      <c r="W24" s="374">
        <f t="shared" si="17"/>
        <v>1.0116164486899282</v>
      </c>
      <c r="X24" s="374">
        <f t="shared" si="17"/>
        <v>1.0140695832994346</v>
      </c>
      <c r="Y24" s="374"/>
      <c r="Z24" s="376"/>
      <c r="AA24" s="372">
        <f>GBDNZ!E92/($T24+$W24+$X24+U24+V24)</f>
        <v>0.64044247556132139</v>
      </c>
      <c r="AB24" s="376">
        <f t="shared" si="18"/>
        <v>0.63126132307321048</v>
      </c>
      <c r="AC24" s="376">
        <f t="shared" si="18"/>
        <v>0.64806562872821027</v>
      </c>
      <c r="AD24" s="376">
        <f t="shared" si="18"/>
        <v>0.64788214271753009</v>
      </c>
      <c r="AE24" s="376">
        <f t="shared" si="18"/>
        <v>0.64945323431972757</v>
      </c>
      <c r="AF24" s="372">
        <f>GBDNZ!F92/($T24+$W24+$X24+U24+V24)</f>
        <v>20.065776641596429</v>
      </c>
      <c r="AG24" s="376">
        <f t="shared" si="19"/>
        <v>19.778120900185144</v>
      </c>
      <c r="AH24" s="376">
        <f t="shared" si="19"/>
        <v>20.304618527618125</v>
      </c>
      <c r="AI24" s="376">
        <f t="shared" si="19"/>
        <v>20.298869706377094</v>
      </c>
      <c r="AJ24" s="376">
        <f t="shared" si="19"/>
        <v>20.34809375752322</v>
      </c>
      <c r="AK24" s="372">
        <f>GBDNZ!G92/($T24+$W24+$X24+U24+V24)</f>
        <v>27.300662918139725</v>
      </c>
      <c r="AL24" s="376">
        <f t="shared" si="20"/>
        <v>26.909290454815412</v>
      </c>
      <c r="AM24" s="376">
        <f t="shared" si="20"/>
        <v>27.625621275719265</v>
      </c>
      <c r="AN24" s="376">
        <f t="shared" si="20"/>
        <v>27.617799668129319</v>
      </c>
      <c r="AO24" s="376">
        <f t="shared" si="20"/>
        <v>27.684771869196279</v>
      </c>
      <c r="AP24" s="373"/>
      <c r="AQ24" s="373"/>
      <c r="AR24" s="373"/>
      <c r="AS24" s="373"/>
      <c r="AT24" s="371"/>
      <c r="AU24" s="371"/>
      <c r="AV24" s="371"/>
      <c r="AW24" s="371"/>
      <c r="AX24" s="371"/>
    </row>
    <row r="25" spans="1:50" x14ac:dyDescent="0.3">
      <c r="A25" s="364">
        <v>0</v>
      </c>
      <c r="B25" s="364">
        <v>1</v>
      </c>
      <c r="C25" s="364" t="s">
        <v>36</v>
      </c>
      <c r="D25" s="372">
        <f>Baseline!AN24</f>
        <v>0.42413880257562148</v>
      </c>
      <c r="E25" s="372">
        <f>Baseline!AO24</f>
        <v>1.009895042702271</v>
      </c>
      <c r="F25" s="372">
        <f>Baseline!AP24</f>
        <v>1.8417249509873066</v>
      </c>
      <c r="G25" s="372">
        <f>Baseline!AQ24</f>
        <v>3.3587161553076208</v>
      </c>
      <c r="H25" s="372">
        <f>Baseline!AR24</f>
        <v>7.99726592919881</v>
      </c>
      <c r="I25" s="372">
        <f>IF((D25+'Non travel METs'!C25)&gt;2.5,(D25+'Non travel METs'!C25),0.1)</f>
        <v>41.424138802575619</v>
      </c>
      <c r="J25" s="372">
        <f>IF((E25+'Non travel METs'!D25)&gt;2.5,(E25+'Non travel METs'!D25),0.1)</f>
        <v>32.259895042702269</v>
      </c>
      <c r="K25" s="372">
        <f>IF((F25+'Non travel METs'!E25)&gt;2.5,(F25+'Non travel METs'!E25),0.1)</f>
        <v>45.925058284320606</v>
      </c>
      <c r="L25" s="372">
        <f>IF((G25+'Non travel METs'!F25)&gt;2.5,(G25+'Non travel METs'!F25),0.1)</f>
        <v>45.858716155307619</v>
      </c>
      <c r="M25" s="372">
        <f>IF((H25+'Non travel METs'!G25)&gt;2.5,(H25+'Non travel METs'!G25),0.1)</f>
        <v>40.797265929198808</v>
      </c>
      <c r="N25" s="380">
        <f t="shared" si="16"/>
        <v>0.94314906211536642</v>
      </c>
      <c r="O25" s="373">
        <f>IF(('user page'!$R$36=0),$N25^(I25^0.25),IF(('user page'!$R$36=1),$N25^(I25^0.5),IF(('user page'!$R$36=2),$N25^(I25^0.375),IF(('user page'!$R$36=4),$N25^(I25),IF(('user page'!$R$36=3),$N25^(LN(1+I25)),"")))))</f>
        <v>0.68611200167940978</v>
      </c>
      <c r="P25" s="373">
        <f>IF(('user page'!$R$36=0),$N25^(J25^0.25),IF(('user page'!$R$36=1),$N25^(J25^0.5),IF(('user page'!$R$36=2),$N25^(J25^0.375),IF(('user page'!$R$36=4),$N25^(J25),IF(('user page'!$R$36=3),$N25^(LN(1+J25)),"")))))</f>
        <v>0.71716968032036477</v>
      </c>
      <c r="Q25" s="373">
        <f>IF(('user page'!$R$36=0),$N25^(K25^0.25),IF(('user page'!$R$36=1),$N25^(K25^0.5),IF(('user page'!$R$36=2),$N25^(K25^0.375),IF(('user page'!$R$36=4),$N25^(K25),IF(('user page'!$R$36=3),$N25^(LN(1+K25)),"")))))</f>
        <v>0.67256761881524152</v>
      </c>
      <c r="R25" s="373">
        <f>IF(('user page'!$R$36=0),$N25^(L25^0.25),IF(('user page'!$R$36=1),$N25^(L25^0.5),IF(('user page'!$R$36=2),$N25^(L25^0.375),IF(('user page'!$R$36=4),$N25^(L25),IF(('user page'!$R$36=3),$N25^(LN(1+L25)),"")))))</f>
        <v>0.67276040465975173</v>
      </c>
      <c r="S25" s="373">
        <f>IF(('user page'!$R$36=0),$N25^(M25^0.25),IF(('user page'!$R$36=1),$N25^(M25^0.5),IF(('user page'!$R$36=2),$N25^(M25^0.375),IF(('user page'!$R$36=4),$N25^(M25),IF(('user page'!$R$36=3),$N25^(LN(1+M25)),"")))))</f>
        <v>0.68807797285609873</v>
      </c>
      <c r="T25" s="374">
        <f t="shared" si="17"/>
        <v>1</v>
      </c>
      <c r="U25" s="374">
        <f t="shared" si="17"/>
        <v>1.0452661935149574</v>
      </c>
      <c r="V25" s="374">
        <f t="shared" si="17"/>
        <v>0.98025922468778359</v>
      </c>
      <c r="W25" s="374">
        <f t="shared" si="17"/>
        <v>0.98054020774016915</v>
      </c>
      <c r="X25" s="374">
        <f t="shared" si="17"/>
        <v>1.0028653793722844</v>
      </c>
      <c r="Y25" s="374"/>
      <c r="Z25" s="376"/>
      <c r="AA25" s="372">
        <f>GBDNZ!E93/($T25+$W25+$X25+U25+V25)</f>
        <v>6.7806928160837714</v>
      </c>
      <c r="AB25" s="376">
        <f t="shared" si="18"/>
        <v>7.0876289692621013</v>
      </c>
      <c r="AC25" s="376">
        <f t="shared" si="18"/>
        <v>6.646836682740302</v>
      </c>
      <c r="AD25" s="376">
        <f t="shared" si="18"/>
        <v>6.6487419425050538</v>
      </c>
      <c r="AE25" s="376">
        <f t="shared" si="18"/>
        <v>6.8001220734087751</v>
      </c>
      <c r="AF25" s="372">
        <f>GBDNZ!F93/($T25+$W25+$X25+U25+V25)</f>
        <v>155.22491519746418</v>
      </c>
      <c r="AG25" s="376">
        <f t="shared" si="19"/>
        <v>162.25135624713545</v>
      </c>
      <c r="AH25" s="376">
        <f t="shared" si="19"/>
        <v>152.16065502369321</v>
      </c>
      <c r="AI25" s="376">
        <f t="shared" si="19"/>
        <v>152.20427059417167</v>
      </c>
      <c r="AJ25" s="376">
        <f t="shared" si="19"/>
        <v>155.66969346753558</v>
      </c>
      <c r="AK25" s="372">
        <f>GBDNZ!G93/($T25+$W25+$X25+U25+V25)</f>
        <v>101.36030837542987</v>
      </c>
      <c r="AL25" s="376">
        <f t="shared" si="20"/>
        <v>105.94850370908783</v>
      </c>
      <c r="AM25" s="376">
        <f t="shared" si="20"/>
        <v>99.359377302213545</v>
      </c>
      <c r="AN25" s="376">
        <f t="shared" si="20"/>
        <v>99.387857831051605</v>
      </c>
      <c r="AO25" s="376">
        <f t="shared" si="20"/>
        <v>101.65074411221721</v>
      </c>
      <c r="AP25" s="373"/>
      <c r="AQ25" s="373"/>
      <c r="AR25" s="373"/>
      <c r="AS25" s="373"/>
      <c r="AT25" s="371"/>
      <c r="AU25" s="371"/>
      <c r="AV25" s="371"/>
      <c r="AW25" s="371"/>
      <c r="AX25" s="371"/>
    </row>
    <row r="26" spans="1:50" x14ac:dyDescent="0.3">
      <c r="A26" s="364">
        <v>0</v>
      </c>
      <c r="B26" s="364">
        <v>1</v>
      </c>
      <c r="C26" s="364" t="s">
        <v>35</v>
      </c>
      <c r="D26" s="372">
        <f>Baseline!AN25</f>
        <v>0.51496682448345821</v>
      </c>
      <c r="E26" s="372">
        <f>Baseline!AO25</f>
        <v>1.2261609643914881</v>
      </c>
      <c r="F26" s="372">
        <f>Baseline!AP25</f>
        <v>2.2361246927243523</v>
      </c>
      <c r="G26" s="372">
        <f>Baseline!AQ25</f>
        <v>4.0779749042924998</v>
      </c>
      <c r="H26" s="372">
        <f>Baseline!AR25</f>
        <v>9.7098558658164578</v>
      </c>
      <c r="I26" s="372">
        <f>IF((D26+'Non travel METs'!C26)&gt;2.5,(D26+'Non travel METs'!C26),0.1)</f>
        <v>4.8899668244834587</v>
      </c>
      <c r="J26" s="372">
        <f>IF((E26+'Non travel METs'!D26)&gt;2.5,(E26+'Non travel METs'!D26),0.1)</f>
        <v>6.2261609643914877</v>
      </c>
      <c r="K26" s="372">
        <f>IF((F26+'Non travel METs'!E26)&gt;2.5,(F26+'Non travel METs'!E26),0.1)</f>
        <v>10.569458026057683</v>
      </c>
      <c r="L26" s="372">
        <f>IF((G26+'Non travel METs'!F26)&gt;2.5,(G26+'Non travel METs'!F26),0.1)</f>
        <v>7.8279749042924998</v>
      </c>
      <c r="M26" s="372">
        <f>IF((H26+'Non travel METs'!G26)&gt;2.5,(H26+'Non travel METs'!G26),0.1)</f>
        <v>22.834855865816458</v>
      </c>
      <c r="N26" s="380">
        <f t="shared" si="16"/>
        <v>0.94314906211536642</v>
      </c>
      <c r="O26" s="373">
        <f>IF(('user page'!$R$36=0),$N26^(I26^0.25),IF(('user page'!$R$36=1),$N26^(I26^0.5),IF(('user page'!$R$36=2),$N26^(I26^0.375),IF(('user page'!$R$36=4),$N26^(I26),IF(('user page'!$R$36=3),$N26^(LN(1+I26)),"")))))</f>
        <v>0.87859517706342005</v>
      </c>
      <c r="P26" s="373">
        <f>IF(('user page'!$R$36=0),$N26^(J26^0.25),IF(('user page'!$R$36=1),$N26^(J26^0.5),IF(('user page'!$R$36=2),$N26^(J26^0.375),IF(('user page'!$R$36=4),$N26^(J26),IF(('user page'!$R$36=3),$N26^(LN(1+J26)),"")))))</f>
        <v>0.8641162153726345</v>
      </c>
      <c r="Q26" s="373">
        <f>IF(('user page'!$R$36=0),$N26^(K26^0.25),IF(('user page'!$R$36=1),$N26^(K26^0.5),IF(('user page'!$R$36=2),$N26^(K26^0.375),IF(('user page'!$R$36=4),$N26^(K26),IF(('user page'!$R$36=3),$N26^(LN(1+K26)),"")))))</f>
        <v>0.82672084774458565</v>
      </c>
      <c r="R26" s="373">
        <f>IF(('user page'!$R$36=0),$N26^(L26^0.25),IF(('user page'!$R$36=1),$N26^(L26^0.5),IF(('user page'!$R$36=2),$N26^(L26^0.375),IF(('user page'!$R$36=4),$N26^(L26),IF(('user page'!$R$36=3),$N26^(LN(1+L26)),"")))))</f>
        <v>0.84894499009225843</v>
      </c>
      <c r="S26" s="373">
        <f>IF(('user page'!$R$36=0),$N26^(M26^0.25),IF(('user page'!$R$36=1),$N26^(M26^0.5),IF(('user page'!$R$36=2),$N26^(M26^0.375),IF(('user page'!$R$36=4),$N26^(M26),IF(('user page'!$R$36=3),$N26^(LN(1+M26)),"")))))</f>
        <v>0.75601433528564244</v>
      </c>
      <c r="T26" s="374">
        <f t="shared" si="17"/>
        <v>1</v>
      </c>
      <c r="U26" s="374">
        <f t="shared" si="17"/>
        <v>0.98352032646118159</v>
      </c>
      <c r="V26" s="374">
        <f t="shared" si="17"/>
        <v>0.94095764389213132</v>
      </c>
      <c r="W26" s="374">
        <f t="shared" si="17"/>
        <v>0.96625273192340622</v>
      </c>
      <c r="X26" s="374">
        <f t="shared" si="17"/>
        <v>0.86048086197389939</v>
      </c>
      <c r="Y26" s="374"/>
      <c r="Z26" s="376"/>
      <c r="AA26" s="372">
        <f>GBDNZ!E94/($T26+$W26+$X26+U26+V26)</f>
        <v>30.912138105381334</v>
      </c>
      <c r="AB26" s="376">
        <f t="shared" si="18"/>
        <v>30.402716161017782</v>
      </c>
      <c r="AC26" s="376">
        <f t="shared" si="18"/>
        <v>29.087012639307794</v>
      </c>
      <c r="AD26" s="376">
        <f t="shared" si="18"/>
        <v>29.868937893918339</v>
      </c>
      <c r="AE26" s="376">
        <f t="shared" si="18"/>
        <v>26.599303242374752</v>
      </c>
      <c r="AF26" s="372">
        <f>GBDNZ!F94/($T26+$W26+$X26+U26+V26)</f>
        <v>451.1879915661284</v>
      </c>
      <c r="AG26" s="376">
        <f t="shared" si="19"/>
        <v>443.75256076048345</v>
      </c>
      <c r="AH26" s="376">
        <f t="shared" si="19"/>
        <v>424.54878949648702</v>
      </c>
      <c r="AI26" s="376">
        <f t="shared" si="19"/>
        <v>435.96162946180635</v>
      </c>
      <c r="AJ26" s="376">
        <f t="shared" si="19"/>
        <v>388.23863189509461</v>
      </c>
      <c r="AK26" s="372">
        <f>GBDNZ!G94/($T26+$W26+$X26+U26+V26)</f>
        <v>231.45319758739197</v>
      </c>
      <c r="AL26" s="376">
        <f t="shared" si="20"/>
        <v>227.63892445163611</v>
      </c>
      <c r="AM26" s="376">
        <f t="shared" si="20"/>
        <v>217.78765547313228</v>
      </c>
      <c r="AN26" s="376">
        <f t="shared" si="20"/>
        <v>223.64228448122543</v>
      </c>
      <c r="AO26" s="376">
        <f t="shared" si="20"/>
        <v>199.16104696661429</v>
      </c>
      <c r="AP26" s="373"/>
      <c r="AQ26" s="373"/>
      <c r="AR26" s="373"/>
      <c r="AS26" s="373"/>
      <c r="AT26" s="371"/>
      <c r="AU26" s="371"/>
      <c r="AV26" s="371"/>
      <c r="AW26" s="371"/>
      <c r="AX26" s="371"/>
    </row>
    <row r="27" spans="1:50" x14ac:dyDescent="0.3">
      <c r="A27" s="364">
        <v>0</v>
      </c>
      <c r="B27" s="364">
        <v>1</v>
      </c>
      <c r="C27" s="364" t="s">
        <v>34</v>
      </c>
      <c r="D27" s="372">
        <f>Baseline!AN26</f>
        <v>0.25245260283815635</v>
      </c>
      <c r="E27" s="372">
        <f>Baseline!AO26</f>
        <v>0.60110188121277408</v>
      </c>
      <c r="F27" s="372">
        <f>Baseline!AP26</f>
        <v>1.096217216546284</v>
      </c>
      <c r="G27" s="372">
        <f>Baseline!AQ26</f>
        <v>1.9991489353318384</v>
      </c>
      <c r="H27" s="372">
        <f>Baseline!AR26</f>
        <v>4.7600704937982714</v>
      </c>
      <c r="I27" s="372">
        <f>IF((D27+'Non travel METs'!C27)&gt;2.5,(D27+'Non travel METs'!C27),0.1)</f>
        <v>0.1</v>
      </c>
      <c r="J27" s="372">
        <f>IF((E27+'Non travel METs'!D27)&gt;2.5,(E27+'Non travel METs'!D27),0.1)</f>
        <v>10.601101881212774</v>
      </c>
      <c r="K27" s="372">
        <f>IF((F27+'Non travel METs'!E27)&gt;2.5,(F27+'Non travel METs'!E27),0.1)</f>
        <v>4.8462172165462842</v>
      </c>
      <c r="L27" s="372">
        <f>IF((G27+'Non travel METs'!F27)&gt;2.5,(G27+'Non travel METs'!F27),0.1)</f>
        <v>7.2074822686651689</v>
      </c>
      <c r="M27" s="372">
        <f>IF((H27+'Non travel METs'!G27)&gt;2.5,(H27+'Non travel METs'!G27),0.1)</f>
        <v>4.7600704937982714</v>
      </c>
      <c r="N27" s="380">
        <f t="shared" si="16"/>
        <v>0.94314906211536642</v>
      </c>
      <c r="O27" s="373">
        <f>IF(('user page'!$R$36=0),$N27^(I27^0.25),IF(('user page'!$R$36=1),$N27^(I27^0.5),IF(('user page'!$R$36=2),$N27^(I27^0.375),IF(('user page'!$R$36=4),$N27^(I27),IF(('user page'!$R$36=3),$N27^(LN(1+I27)),"")))))</f>
        <v>0.98166113424264856</v>
      </c>
      <c r="P27" s="373">
        <f>IF(('user page'!$R$36=0),$N27^(J27^0.25),IF(('user page'!$R$36=1),$N27^(J27^0.5),IF(('user page'!$R$36=2),$N27^(J27^0.375),IF(('user page'!$R$36=4),$N27^(J27),IF(('user page'!$R$36=3),$N27^(LN(1+J27)),"")))))</f>
        <v>0.82648556455686895</v>
      </c>
      <c r="Q27" s="373">
        <f>IF(('user page'!$R$36=0),$N27^(K27^0.25),IF(('user page'!$R$36=1),$N27^(K27^0.5),IF(('user page'!$R$36=2),$N27^(K27^0.375),IF(('user page'!$R$36=4),$N27^(K27),IF(('user page'!$R$36=3),$N27^(LN(1+K27)),"")))))</f>
        <v>0.87910517237233632</v>
      </c>
      <c r="R27" s="373">
        <f>IF(('user page'!$R$36=0),$N27^(L27^0.25),IF(('user page'!$R$36=1),$N27^(L27^0.5),IF(('user page'!$R$36=2),$N27^(L27^0.375),IF(('user page'!$R$36=4),$N27^(L27),IF(('user page'!$R$36=3),$N27^(LN(1+L27)),"")))))</f>
        <v>0.85458734109994106</v>
      </c>
      <c r="S27" s="373">
        <f>IF(('user page'!$R$36=0),$N27^(M27^0.25),IF(('user page'!$R$36=1),$N27^(M27^0.5),IF(('user page'!$R$36=2),$N27^(M27^0.375),IF(('user page'!$R$36=4),$N27^(M27),IF(('user page'!$R$36=3),$N27^(LN(1+M27)),"")))))</f>
        <v>0.88011704643835897</v>
      </c>
      <c r="T27" s="374">
        <f t="shared" si="17"/>
        <v>1</v>
      </c>
      <c r="U27" s="374">
        <f t="shared" si="17"/>
        <v>0.8419255237139468</v>
      </c>
      <c r="V27" s="374">
        <f t="shared" si="17"/>
        <v>0.89552814276442338</v>
      </c>
      <c r="W27" s="374">
        <f t="shared" si="17"/>
        <v>0.87055228254427641</v>
      </c>
      <c r="X27" s="374">
        <f t="shared" si="17"/>
        <v>0.89655892011795824</v>
      </c>
      <c r="Y27" s="374"/>
      <c r="Z27" s="376"/>
      <c r="AA27" s="372">
        <f>GBDNZ!E95/($T27+$W27+$X27+U27+V27)</f>
        <v>198.3740162144633</v>
      </c>
      <c r="AB27" s="376">
        <f t="shared" si="18"/>
        <v>167.01614749260099</v>
      </c>
      <c r="AC27" s="376">
        <f t="shared" si="18"/>
        <v>177.64951431325792</v>
      </c>
      <c r="AD27" s="376">
        <f t="shared" si="18"/>
        <v>172.69495261297632</v>
      </c>
      <c r="AE27" s="376">
        <f t="shared" si="18"/>
        <v>177.85399375670156</v>
      </c>
      <c r="AF27" s="372">
        <f>GBDNZ!F95/($T27+$W27+$X27+U27+V27)</f>
        <v>1295.3433955571413</v>
      </c>
      <c r="AG27" s="376">
        <f t="shared" si="19"/>
        <v>1090.5826666938483</v>
      </c>
      <c r="AH27" s="376">
        <f t="shared" si="19"/>
        <v>1160.0164652654487</v>
      </c>
      <c r="AI27" s="376">
        <f t="shared" si="19"/>
        <v>1127.6641496809229</v>
      </c>
      <c r="AJ27" s="376">
        <f t="shared" si="19"/>
        <v>1161.35167590264</v>
      </c>
      <c r="AK27" s="372">
        <f>GBDNZ!G95/($T27+$W27+$X27+U27+V27)</f>
        <v>644.35865654516795</v>
      </c>
      <c r="AL27" s="376">
        <f t="shared" si="20"/>
        <v>542.50199937140565</v>
      </c>
      <c r="AM27" s="376">
        <f t="shared" si="20"/>
        <v>577.04131097007325</v>
      </c>
      <c r="AN27" s="376">
        <f t="shared" si="20"/>
        <v>560.94789923255939</v>
      </c>
      <c r="AO27" s="376">
        <f t="shared" si="20"/>
        <v>577.70550128079412</v>
      </c>
      <c r="AP27" s="373"/>
      <c r="AQ27" s="373"/>
      <c r="AR27" s="373"/>
      <c r="AS27" s="373"/>
      <c r="AT27" s="371"/>
      <c r="AU27" s="371"/>
      <c r="AV27" s="371"/>
      <c r="AW27" s="371"/>
      <c r="AX27" s="371"/>
    </row>
    <row r="28" spans="1:50" x14ac:dyDescent="0.3">
      <c r="A28" s="364">
        <v>0</v>
      </c>
      <c r="B28" s="364">
        <v>2</v>
      </c>
      <c r="C28" s="364" t="s">
        <v>2</v>
      </c>
      <c r="D28" s="372"/>
      <c r="E28" s="372"/>
      <c r="F28" s="372"/>
      <c r="G28" s="372"/>
      <c r="H28" s="372"/>
      <c r="I28" s="372"/>
      <c r="J28" s="372"/>
      <c r="K28" s="372"/>
      <c r="L28" s="372"/>
      <c r="M28" s="372"/>
      <c r="N28" s="380"/>
      <c r="O28" s="373"/>
      <c r="P28" s="373"/>
      <c r="Q28" s="373"/>
      <c r="R28" s="373"/>
      <c r="S28" s="373"/>
      <c r="T28" s="374"/>
      <c r="U28" s="374"/>
      <c r="V28" s="374"/>
      <c r="W28" s="374"/>
      <c r="X28" s="374"/>
      <c r="Y28" s="374"/>
      <c r="Z28" s="376"/>
      <c r="AA28" s="372"/>
      <c r="AB28" s="376"/>
      <c r="AC28" s="376"/>
      <c r="AD28" s="376"/>
      <c r="AE28" s="376"/>
      <c r="AF28" s="372"/>
      <c r="AG28" s="376"/>
      <c r="AH28" s="376"/>
      <c r="AI28" s="376"/>
      <c r="AJ28" s="376"/>
      <c r="AK28" s="372"/>
      <c r="AL28" s="376"/>
      <c r="AM28" s="376"/>
      <c r="AN28" s="376"/>
      <c r="AO28" s="376"/>
      <c r="AP28" s="373"/>
      <c r="AQ28" s="373"/>
      <c r="AR28" s="373"/>
      <c r="AS28" s="373"/>
      <c r="AT28" s="371"/>
      <c r="AU28" s="371"/>
      <c r="AV28" s="371"/>
      <c r="AW28" s="371"/>
      <c r="AX28" s="371"/>
    </row>
    <row r="29" spans="1:50" x14ac:dyDescent="0.3">
      <c r="A29" s="364">
        <v>0</v>
      </c>
      <c r="B29" s="364">
        <v>2</v>
      </c>
      <c r="C29" s="364" t="s">
        <v>40</v>
      </c>
      <c r="D29" s="372"/>
      <c r="E29" s="372"/>
      <c r="F29" s="372"/>
      <c r="G29" s="372"/>
      <c r="H29" s="372"/>
      <c r="I29" s="372"/>
      <c r="J29" s="372"/>
      <c r="K29" s="372"/>
      <c r="L29" s="372"/>
      <c r="M29" s="372"/>
      <c r="N29" s="380"/>
      <c r="O29" s="373"/>
      <c r="P29" s="373"/>
      <c r="Q29" s="373"/>
      <c r="R29" s="373"/>
      <c r="S29" s="373"/>
      <c r="T29" s="374"/>
      <c r="U29" s="374"/>
      <c r="V29" s="374"/>
      <c r="W29" s="374"/>
      <c r="X29" s="374"/>
      <c r="Y29" s="374"/>
      <c r="Z29" s="376"/>
      <c r="AA29" s="372"/>
      <c r="AB29" s="376"/>
      <c r="AC29" s="376"/>
      <c r="AD29" s="376"/>
      <c r="AE29" s="376"/>
      <c r="AF29" s="372"/>
      <c r="AG29" s="376"/>
      <c r="AH29" s="376"/>
      <c r="AI29" s="376"/>
      <c r="AJ29" s="376"/>
      <c r="AK29" s="372"/>
      <c r="AL29" s="376"/>
      <c r="AM29" s="376"/>
      <c r="AN29" s="376"/>
      <c r="AO29" s="376"/>
      <c r="AP29" s="373"/>
      <c r="AQ29" s="373"/>
      <c r="AR29" s="373"/>
      <c r="AS29" s="373"/>
      <c r="AT29" s="371"/>
      <c r="AU29" s="371"/>
      <c r="AV29" s="371"/>
      <c r="AW29" s="371"/>
      <c r="AX29" s="371"/>
    </row>
    <row r="30" spans="1:50" x14ac:dyDescent="0.3">
      <c r="A30" s="364">
        <v>0</v>
      </c>
      <c r="B30" s="364">
        <v>2</v>
      </c>
      <c r="C30" s="364" t="s">
        <v>39</v>
      </c>
      <c r="D30" s="372">
        <f>Baseline!AN29</f>
        <v>0.38786520725769708</v>
      </c>
      <c r="E30" s="372">
        <f>Baseline!AO29</f>
        <v>0.9235258544315782</v>
      </c>
      <c r="F30" s="372">
        <f>Baseline!AP29</f>
        <v>1.6842152273936337</v>
      </c>
      <c r="G30" s="372">
        <f>Baseline!AQ29</f>
        <v>3.0714688912856469</v>
      </c>
      <c r="H30" s="372">
        <f>Baseline!AR29</f>
        <v>7.3133162735578114</v>
      </c>
      <c r="I30" s="372">
        <f>IF((D30+'Non travel METs'!C30)&gt;2.5,(D30+'Non travel METs'!C30),0.1)</f>
        <v>9.2545318739243676</v>
      </c>
      <c r="J30" s="372">
        <f>IF((E30+'Non travel METs'!D30)&gt;2.5,(E30+'Non travel METs'!D30),0.1)</f>
        <v>25.523525854431579</v>
      </c>
      <c r="K30" s="372">
        <f>IF((F30+'Non travel METs'!E30)&gt;2.5,(F30+'Non travel METs'!E30),0.1)</f>
        <v>31.534215227393634</v>
      </c>
      <c r="L30" s="372">
        <f>IF((G30+'Non travel METs'!F30)&gt;2.5,(G30+'Non travel METs'!F30),0.1)</f>
        <v>33.471468891285646</v>
      </c>
      <c r="M30" s="372">
        <f>IF((H30+'Non travel METs'!G30)&gt;2.5,(H30+'Non travel METs'!G30),0.1)</f>
        <v>48.31331627355781</v>
      </c>
      <c r="N30" s="380">
        <f t="shared" ref="N30:N35" si="21">N13</f>
        <v>0.94314906211536642</v>
      </c>
      <c r="O30" s="373">
        <f>IF(('user page'!$R$36=0),$N30^(I30^0.25),IF(('user page'!$R$36=1),$N30^(I30^0.5),IF(('user page'!$R$36=2),$N30^(I30^0.375),IF(('user page'!$R$36=4),$N30^(I30),IF(('user page'!$R$36=3),$N30^(LN(1+I30)),"")))))</f>
        <v>0.83689346687182009</v>
      </c>
      <c r="P30" s="373">
        <f>IF(('user page'!$R$36=0),$N30^(J30^0.25),IF(('user page'!$R$36=1),$N30^(J30^0.5),IF(('user page'!$R$36=2),$N30^(J30^0.375),IF(('user page'!$R$36=4),$N30^(J30),IF(('user page'!$R$36=3),$N30^(LN(1+J30)),"")))))</f>
        <v>0.74400832657106575</v>
      </c>
      <c r="Q30" s="373">
        <f>IF(('user page'!$R$36=0),$N30^(K30^0.25),IF(('user page'!$R$36=1),$N30^(K30^0.5),IF(('user page'!$R$36=2),$N30^(K30^0.375),IF(('user page'!$R$36=4),$N30^(K30),IF(('user page'!$R$36=3),$N30^(LN(1+K30)),"")))))</f>
        <v>0.71987159098528075</v>
      </c>
      <c r="R30" s="373">
        <f>IF(('user page'!$R$36=0),$N30^(L30^0.25),IF(('user page'!$R$36=1),$N30^(L30^0.5),IF(('user page'!$R$36=2),$N30^(L30^0.375),IF(('user page'!$R$36=4),$N30^(L30),IF(('user page'!$R$36=3),$N30^(LN(1+L30)),"")))))</f>
        <v>0.71274754520184014</v>
      </c>
      <c r="S30" s="373">
        <f>IF(('user page'!$R$36=0),$N30^(M30^0.25),IF(('user page'!$R$36=1),$N30^(M30^0.5),IF(('user page'!$R$36=2),$N30^(M30^0.375),IF(('user page'!$R$36=4),$N30^(M30),IF(('user page'!$R$36=3),$N30^(LN(1+M30)),"")))))</f>
        <v>0.66575366270743463</v>
      </c>
      <c r="T30" s="374">
        <f t="shared" ref="T30:X35" si="22">O30/$O30</f>
        <v>1</v>
      </c>
      <c r="U30" s="374">
        <f t="shared" si="22"/>
        <v>0.88901199020235533</v>
      </c>
      <c r="V30" s="374">
        <f t="shared" si="22"/>
        <v>0.86017112031720211</v>
      </c>
      <c r="W30" s="374">
        <f t="shared" si="22"/>
        <v>0.85165863209087</v>
      </c>
      <c r="X30" s="374">
        <f t="shared" si="22"/>
        <v>0.7955058667095587</v>
      </c>
      <c r="Y30" s="374"/>
      <c r="Z30" s="376"/>
      <c r="AA30" s="372">
        <f>GBDNZ!E98/($T30+$W30+$X30+U30+V30)</f>
        <v>0</v>
      </c>
      <c r="AB30" s="376">
        <f t="shared" ref="AB30:AE35" si="23">$AA30*U30</f>
        <v>0</v>
      </c>
      <c r="AC30" s="376">
        <f t="shared" si="23"/>
        <v>0</v>
      </c>
      <c r="AD30" s="376">
        <f t="shared" si="23"/>
        <v>0</v>
      </c>
      <c r="AE30" s="376">
        <f t="shared" si="23"/>
        <v>0</v>
      </c>
      <c r="AF30" s="372">
        <f>GBDNZ!F98/($T30+$W30+$X30+U30+V30)</f>
        <v>0</v>
      </c>
      <c r="AG30" s="376">
        <f t="shared" ref="AG30:AJ35" si="24">$AF30*U30</f>
        <v>0</v>
      </c>
      <c r="AH30" s="376">
        <f t="shared" si="24"/>
        <v>0</v>
      </c>
      <c r="AI30" s="376">
        <f t="shared" si="24"/>
        <v>0</v>
      </c>
      <c r="AJ30" s="376">
        <f t="shared" si="24"/>
        <v>0</v>
      </c>
      <c r="AK30" s="372">
        <f>GBDNZ!G98/($T30+$W30+$X30+U30+V30)</f>
        <v>0</v>
      </c>
      <c r="AL30" s="376">
        <f t="shared" ref="AL30:AO35" si="25">U30*$AK30</f>
        <v>0</v>
      </c>
      <c r="AM30" s="376">
        <f t="shared" si="25"/>
        <v>0</v>
      </c>
      <c r="AN30" s="376">
        <f t="shared" si="25"/>
        <v>0</v>
      </c>
      <c r="AO30" s="376">
        <f t="shared" si="25"/>
        <v>0</v>
      </c>
      <c r="AP30" s="373"/>
      <c r="AQ30" s="373"/>
      <c r="AR30" s="373"/>
      <c r="AS30" s="373"/>
      <c r="AT30" s="371"/>
      <c r="AU30" s="371"/>
      <c r="AV30" s="371"/>
      <c r="AW30" s="371"/>
      <c r="AX30" s="371"/>
    </row>
    <row r="31" spans="1:50" x14ac:dyDescent="0.3">
      <c r="A31" s="364">
        <v>0</v>
      </c>
      <c r="B31" s="364">
        <v>2</v>
      </c>
      <c r="C31" s="364" t="s">
        <v>38</v>
      </c>
      <c r="D31" s="372">
        <f>Baseline!AN30</f>
        <v>0.32214184162495779</v>
      </c>
      <c r="E31" s="372">
        <f>Baseline!AO30</f>
        <v>0.76703533590520923</v>
      </c>
      <c r="F31" s="372">
        <f>Baseline!AP30</f>
        <v>1.3988266668242526</v>
      </c>
      <c r="G31" s="372">
        <f>Baseline!AQ30</f>
        <v>2.5510116056249852</v>
      </c>
      <c r="H31" s="372">
        <f>Baseline!AR30</f>
        <v>6.0740822550356066</v>
      </c>
      <c r="I31" s="372">
        <f>IF((D31+'Non travel METs'!C31)&gt;2.5,(D31+'Non travel METs'!C31),0.1)</f>
        <v>41.322141841624955</v>
      </c>
      <c r="J31" s="372">
        <f>IF((E31+'Non travel METs'!D31)&gt;2.5,(E31+'Non travel METs'!D31),0.1)</f>
        <v>36.642035335905206</v>
      </c>
      <c r="K31" s="372">
        <f>IF((F31+'Non travel METs'!E31)&gt;2.5,(F31+'Non travel METs'!E31),0.1)</f>
        <v>40.248826666824257</v>
      </c>
      <c r="L31" s="372">
        <f>IF((G31+'Non travel METs'!F31)&gt;2.5,(G31+'Non travel METs'!F31),0.1)</f>
        <v>43.551011605624986</v>
      </c>
      <c r="M31" s="372">
        <f>IF((H31+'Non travel METs'!G31)&gt;2.5,(H31+'Non travel METs'!G31),0.1)</f>
        <v>48.340748921702307</v>
      </c>
      <c r="N31" s="380">
        <f t="shared" si="21"/>
        <v>0.94314906211536642</v>
      </c>
      <c r="O31" s="373">
        <f>IF(('user page'!$R$36=0),$N31^(I31^0.25),IF(('user page'!$R$36=1),$N31^(I31^0.5),IF(('user page'!$R$36=2),$N31^(I31^0.375),IF(('user page'!$R$36=4),$N31^(I31),IF(('user page'!$R$36=3),$N31^(LN(1+I31)),"")))))</f>
        <v>0.68643047960883752</v>
      </c>
      <c r="P31" s="373">
        <f>IF(('user page'!$R$36=0),$N31^(J31^0.25),IF(('user page'!$R$36=1),$N31^(J31^0.5),IF(('user page'!$R$36=2),$N31^(J31^0.375),IF(('user page'!$R$36=4),$N31^(J31),IF(('user page'!$R$36=3),$N31^(LN(1+J31)),"")))))</f>
        <v>0.70166208035903421</v>
      </c>
      <c r="Q31" s="373">
        <f>IF(('user page'!$R$36=0),$N31^(K31^0.25),IF(('user page'!$R$36=1),$N31^(K31^0.5),IF(('user page'!$R$36=2),$N31^(K31^0.375),IF(('user page'!$R$36=4),$N31^(K31),IF(('user page'!$R$36=3),$N31^(LN(1+K31)),"")))))</f>
        <v>0.6898150565219483</v>
      </c>
      <c r="R31" s="373">
        <f>IF(('user page'!$R$36=0),$N31^(L31^0.25),IF(('user page'!$R$36=1),$N31^(L31^0.5),IF(('user page'!$R$36=2),$N31^(L31^0.375),IF(('user page'!$R$36=4),$N31^(L31),IF(('user page'!$R$36=3),$N31^(LN(1+L31)),"")))))</f>
        <v>0.67959087005827523</v>
      </c>
      <c r="S31" s="373">
        <f>IF(('user page'!$R$36=0),$N31^(M31^0.25),IF(('user page'!$R$36=1),$N31^(M31^0.5),IF(('user page'!$R$36=2),$N31^(M31^0.375),IF(('user page'!$R$36=4),$N31^(M31),IF(('user page'!$R$36=3),$N31^(LN(1+M31)),"")))))</f>
        <v>0.66567678212969139</v>
      </c>
      <c r="T31" s="374">
        <f t="shared" si="22"/>
        <v>1</v>
      </c>
      <c r="U31" s="374">
        <f t="shared" si="22"/>
        <v>1.022189575204872</v>
      </c>
      <c r="V31" s="374">
        <f t="shared" si="22"/>
        <v>1.0049306914737228</v>
      </c>
      <c r="W31" s="374">
        <f t="shared" si="22"/>
        <v>0.9900359763242742</v>
      </c>
      <c r="X31" s="374">
        <f t="shared" si="22"/>
        <v>0.96976576930125158</v>
      </c>
      <c r="Y31" s="374"/>
      <c r="Z31" s="376"/>
      <c r="AA31" s="372">
        <f>GBDNZ!E99/($T31+$W31+$X31+U31+V31)</f>
        <v>1.2512571250571757E-3</v>
      </c>
      <c r="AB31" s="376">
        <f t="shared" si="23"/>
        <v>1.2790219891342638E-3</v>
      </c>
      <c r="AC31" s="376">
        <f t="shared" si="23"/>
        <v>1.25742668789513E-3</v>
      </c>
      <c r="AD31" s="376">
        <f t="shared" si="23"/>
        <v>1.2387895694386853E-3</v>
      </c>
      <c r="AE31" s="376">
        <f t="shared" si="23"/>
        <v>1.2134263284747445E-3</v>
      </c>
      <c r="AF31" s="372">
        <f>GBDNZ!F99/($T31+$W31+$X31+U31+V31)</f>
        <v>5.580772717386296E-2</v>
      </c>
      <c r="AG31" s="376">
        <f t="shared" si="24"/>
        <v>5.7046076933000373E-2</v>
      </c>
      <c r="AH31" s="376">
        <f t="shared" si="24"/>
        <v>5.6082897858406977E-2</v>
      </c>
      <c r="AI31" s="376">
        <f t="shared" si="24"/>
        <v>5.5251657659014144E-2</v>
      </c>
      <c r="AJ31" s="376">
        <f t="shared" si="24"/>
        <v>5.4120423475715579E-2</v>
      </c>
      <c r="AK31" s="372">
        <f>GBDNZ!G99/($T31+$W31+$X31+U31+V31)</f>
        <v>0.40171986775754476</v>
      </c>
      <c r="AL31" s="376">
        <f t="shared" si="25"/>
        <v>0.41063386097444204</v>
      </c>
      <c r="AM31" s="376">
        <f t="shared" si="25"/>
        <v>0.40370062448432192</v>
      </c>
      <c r="AN31" s="376">
        <f t="shared" si="25"/>
        <v>0.39771712148419913</v>
      </c>
      <c r="AO31" s="376">
        <f t="shared" si="25"/>
        <v>0.38957417659949245</v>
      </c>
      <c r="AP31" s="373"/>
      <c r="AQ31" s="373"/>
      <c r="AR31" s="373"/>
      <c r="AS31" s="373"/>
      <c r="AT31" s="371"/>
      <c r="AU31" s="371"/>
      <c r="AV31" s="371"/>
      <c r="AW31" s="371"/>
      <c r="AX31" s="371"/>
    </row>
    <row r="32" spans="1:50" x14ac:dyDescent="0.3">
      <c r="A32" s="364">
        <v>0</v>
      </c>
      <c r="B32" s="364">
        <v>2</v>
      </c>
      <c r="C32" s="364" t="s">
        <v>37</v>
      </c>
      <c r="D32" s="372">
        <f>Baseline!AN31</f>
        <v>0.46307739299727485</v>
      </c>
      <c r="E32" s="372">
        <f>Baseline!AO31</f>
        <v>1.1026097134606268</v>
      </c>
      <c r="F32" s="372">
        <f>Baseline!AP31</f>
        <v>2.0108068013163582</v>
      </c>
      <c r="G32" s="372">
        <f>Baseline!AQ31</f>
        <v>3.6670672703669323</v>
      </c>
      <c r="H32" s="372">
        <f>Baseline!AR31</f>
        <v>8.7314648768524989</v>
      </c>
      <c r="I32" s="372">
        <f>IF((D32+'Non travel METs'!C32)&gt;2.5,(D32+'Non travel METs'!C32),0.1)</f>
        <v>42.113077392997276</v>
      </c>
      <c r="J32" s="372">
        <f>IF((E32+'Non travel METs'!D32)&gt;2.5,(E32+'Non travel METs'!D32),0.1)</f>
        <v>44.15260971346062</v>
      </c>
      <c r="K32" s="372">
        <f>IF((F32+'Non travel METs'!E32)&gt;2.5,(F32+'Non travel METs'!E32),0.1)</f>
        <v>48.077473467983054</v>
      </c>
      <c r="L32" s="372">
        <f>IF((G32+'Non travel METs'!F32)&gt;2.5,(G32+'Non travel METs'!F32),0.1)</f>
        <v>44.667067270366935</v>
      </c>
      <c r="M32" s="372">
        <f>IF((H32+'Non travel METs'!G32)&gt;2.5,(H32+'Non travel METs'!G32),0.1)</f>
        <v>49.731464876852499</v>
      </c>
      <c r="N32" s="380">
        <f t="shared" si="21"/>
        <v>0.94314906211536642</v>
      </c>
      <c r="O32" s="373">
        <f>IF(('user page'!$R$36=0),$N32^(I32^0.25),IF(('user page'!$R$36=1),$N32^(I32^0.5),IF(('user page'!$R$36=2),$N32^(I32^0.375),IF(('user page'!$R$36=4),$N32^(I32),IF(('user page'!$R$36=3),$N32^(LN(1+I32)),"")))))</f>
        <v>0.68397486432023091</v>
      </c>
      <c r="P32" s="373">
        <f>IF(('user page'!$R$36=0),$N32^(J32^0.25),IF(('user page'!$R$36=1),$N32^(J32^0.5),IF(('user page'!$R$36=2),$N32^(J32^0.375),IF(('user page'!$R$36=4),$N32^(J32),IF(('user page'!$R$36=3),$N32^(LN(1+J32)),"")))))</f>
        <v>0.67778643581054343</v>
      </c>
      <c r="Q32" s="373">
        <f>IF(('user page'!$R$36=0),$N32^(K32^0.25),IF(('user page'!$R$36=1),$N32^(K32^0.5),IF(('user page'!$R$36=2),$N32^(K32^0.375),IF(('user page'!$R$36=4),$N32^(K32),IF(('user page'!$R$36=3),$N32^(LN(1+K32)),"")))))</f>
        <v>0.66641588704143018</v>
      </c>
      <c r="R32" s="373">
        <f>IF(('user page'!$R$36=0),$N32^(L32^0.25),IF(('user page'!$R$36=1),$N32^(L32^0.5),IF(('user page'!$R$36=2),$N32^(L32^0.375),IF(('user page'!$R$36=4),$N32^(L32),IF(('user page'!$R$36=3),$N32^(LN(1+L32)),"")))))</f>
        <v>0.67625686486378112</v>
      </c>
      <c r="S32" s="373">
        <f>IF(('user page'!$R$36=0),$N32^(M32^0.25),IF(('user page'!$R$36=1),$N32^(M32^0.5),IF(('user page'!$R$36=2),$N32^(M32^0.375),IF(('user page'!$R$36=4),$N32^(M32),IF(('user page'!$R$36=3),$N32^(LN(1+M32)),"")))))</f>
        <v>0.66181890190191339</v>
      </c>
      <c r="T32" s="374">
        <f t="shared" si="22"/>
        <v>1</v>
      </c>
      <c r="U32" s="374">
        <f t="shared" si="22"/>
        <v>0.9909522574110412</v>
      </c>
      <c r="V32" s="374">
        <f t="shared" si="22"/>
        <v>0.97432803719146643</v>
      </c>
      <c r="W32" s="374">
        <f t="shared" si="22"/>
        <v>0.9887159603969945</v>
      </c>
      <c r="X32" s="374">
        <f t="shared" si="22"/>
        <v>0.96760705170015682</v>
      </c>
      <c r="Y32" s="374"/>
      <c r="Z32" s="376"/>
      <c r="AA32" s="372">
        <f>GBDNZ!E100/($T32+$W32+$X32+U32+V32)</f>
        <v>1.0053091899066247</v>
      </c>
      <c r="AB32" s="376">
        <f t="shared" si="23"/>
        <v>0.99621341113403483</v>
      </c>
      <c r="AC32" s="376">
        <f t="shared" si="23"/>
        <v>0.97950092977226477</v>
      </c>
      <c r="AD32" s="376">
        <f t="shared" si="23"/>
        <v>0.99396524119445295</v>
      </c>
      <c r="AE32" s="376">
        <f t="shared" si="23"/>
        <v>0.97274426129262215</v>
      </c>
      <c r="AF32" s="372">
        <f>GBDNZ!F100/($T32+$W32+$X32+U32+V32)</f>
        <v>31.649576386694683</v>
      </c>
      <c r="AG32" s="376">
        <f t="shared" si="24"/>
        <v>31.363219166498283</v>
      </c>
      <c r="AH32" s="376">
        <f t="shared" si="24"/>
        <v>30.837069638789615</v>
      </c>
      <c r="AI32" s="376">
        <f t="shared" si="24"/>
        <v>31.292441313328872</v>
      </c>
      <c r="AJ32" s="376">
        <f t="shared" si="24"/>
        <v>30.624353295088543</v>
      </c>
      <c r="AK32" s="372">
        <f>GBDNZ!G100/($T32+$W32+$X32+U32+V32)</f>
        <v>33.023796326443424</v>
      </c>
      <c r="AL32" s="376">
        <f t="shared" si="25"/>
        <v>32.72500551797156</v>
      </c>
      <c r="AM32" s="376">
        <f t="shared" si="25"/>
        <v>32.176010655354382</v>
      </c>
      <c r="AN32" s="376">
        <f t="shared" si="25"/>
        <v>32.651154500854247</v>
      </c>
      <c r="AO32" s="376">
        <f t="shared" si="25"/>
        <v>31.954058199376391</v>
      </c>
      <c r="AP32" s="373"/>
      <c r="AQ32" s="373"/>
      <c r="AR32" s="373"/>
      <c r="AS32" s="373"/>
      <c r="AT32" s="371"/>
      <c r="AU32" s="371"/>
      <c r="AV32" s="371"/>
      <c r="AW32" s="371"/>
      <c r="AX32" s="371"/>
    </row>
    <row r="33" spans="1:50" x14ac:dyDescent="0.3">
      <c r="A33" s="364">
        <v>0</v>
      </c>
      <c r="B33" s="364">
        <v>2</v>
      </c>
      <c r="C33" s="364" t="s">
        <v>36</v>
      </c>
      <c r="D33" s="372">
        <f>Baseline!AN32</f>
        <v>0.35634958562049185</v>
      </c>
      <c r="E33" s="372">
        <f>Baseline!AO32</f>
        <v>0.8484856320661196</v>
      </c>
      <c r="F33" s="372">
        <f>Baseline!AP32</f>
        <v>1.5473659074006401</v>
      </c>
      <c r="G33" s="372">
        <f>Baseline!AQ32</f>
        <v>2.8218995830906697</v>
      </c>
      <c r="H33" s="372">
        <f>Baseline!AR32</f>
        <v>6.7190796566149293</v>
      </c>
      <c r="I33" s="372">
        <f>IF((D33+'Non travel METs'!C33)&gt;2.5,(D33+'Non travel METs'!C33),0.1)</f>
        <v>33.15634958562049</v>
      </c>
      <c r="J33" s="372">
        <f>IF((E33+'Non travel METs'!D33)&gt;2.5,(E33+'Non travel METs'!D33),0.1)</f>
        <v>18.848485632066119</v>
      </c>
      <c r="K33" s="372">
        <f>IF((F33+'Non travel METs'!E33)&gt;2.5,(F33+'Non travel METs'!E33),0.1)</f>
        <v>33.297365907400639</v>
      </c>
      <c r="L33" s="372">
        <f>IF((G33+'Non travel METs'!F33)&gt;2.5,(G33+'Non travel METs'!F33),0.1)</f>
        <v>23.321899583090669</v>
      </c>
      <c r="M33" s="372">
        <f>IF((H33+'Non travel METs'!G33)&gt;2.5,(H33+'Non travel METs'!G33),0.1)</f>
        <v>11.21907965661493</v>
      </c>
      <c r="N33" s="380">
        <f t="shared" si="21"/>
        <v>0.94314906211536642</v>
      </c>
      <c r="O33" s="373">
        <f>IF(('user page'!$R$36=0),$N33^(I33^0.25),IF(('user page'!$R$36=1),$N33^(I33^0.5),IF(('user page'!$R$36=2),$N33^(I33^0.375),IF(('user page'!$R$36=4),$N33^(I33),IF(('user page'!$R$36=3),$N33^(LN(1+I33)),"")))))</f>
        <v>0.71388727429827836</v>
      </c>
      <c r="P33" s="373">
        <f>IF(('user page'!$R$36=0),$N33^(J33^0.25),IF(('user page'!$R$36=1),$N33^(J33^0.5),IF(('user page'!$R$36=2),$N33^(J33^0.375),IF(('user page'!$R$36=4),$N33^(J33),IF(('user page'!$R$36=3),$N33^(LN(1+J33)),"")))))</f>
        <v>0.77560559617131208</v>
      </c>
      <c r="Q33" s="373">
        <f>IF(('user page'!$R$36=0),$N33^(K33^0.25),IF(('user page'!$R$36=1),$N33^(K33^0.5),IF(('user page'!$R$36=2),$N33^(K33^0.375),IF(('user page'!$R$36=4),$N33^(K33),IF(('user page'!$R$36=3),$N33^(LN(1+K33)),"")))))</f>
        <v>0.71337635224035867</v>
      </c>
      <c r="R33" s="373">
        <f>IF(('user page'!$R$36=0),$N33^(L33^0.25),IF(('user page'!$R$36=1),$N33^(L33^0.5),IF(('user page'!$R$36=2),$N33^(L33^0.375),IF(('user page'!$R$36=4),$N33^(L33),IF(('user page'!$R$36=3),$N33^(LN(1+L33)),"")))))</f>
        <v>0.75377451728890665</v>
      </c>
      <c r="S33" s="373">
        <f>IF(('user page'!$R$36=0),$N33^(M33^0.25),IF(('user page'!$R$36=1),$N33^(M33^0.5),IF(('user page'!$R$36=2),$N33^(M33^0.375),IF(('user page'!$R$36=4),$N33^(M33),IF(('user page'!$R$36=3),$N33^(LN(1+M33)),"")))))</f>
        <v>0.82197215814046021</v>
      </c>
      <c r="T33" s="374">
        <f t="shared" si="22"/>
        <v>1</v>
      </c>
      <c r="U33" s="374">
        <f t="shared" si="22"/>
        <v>1.0864538759760078</v>
      </c>
      <c r="V33" s="374">
        <f t="shared" si="22"/>
        <v>0.99928430989553374</v>
      </c>
      <c r="W33" s="374">
        <f t="shared" si="22"/>
        <v>1.0558733072106319</v>
      </c>
      <c r="X33" s="374">
        <f t="shared" si="22"/>
        <v>1.1514032925554316</v>
      </c>
      <c r="Y33" s="374"/>
      <c r="Z33" s="376"/>
      <c r="AA33" s="372">
        <f>GBDNZ!E101/($T33+$W33+$X33+U33+V33)</f>
        <v>6.9528610333490359</v>
      </c>
      <c r="AB33" s="376">
        <f t="shared" si="23"/>
        <v>7.5539628188046111</v>
      </c>
      <c r="AC33" s="376">
        <f t="shared" si="23"/>
        <v>6.9478849395097386</v>
      </c>
      <c r="AD33" s="376">
        <f t="shared" si="23"/>
        <v>7.3413403738581779</v>
      </c>
      <c r="AE33" s="376">
        <f t="shared" si="23"/>
        <v>8.0055470864784404</v>
      </c>
      <c r="AF33" s="372">
        <f>GBDNZ!F101/($T33+$W33+$X33+U33+V33)</f>
        <v>160.49088442092273</v>
      </c>
      <c r="AG33" s="376">
        <f t="shared" si="24"/>
        <v>174.36594343792899</v>
      </c>
      <c r="AH33" s="376">
        <f t="shared" si="24"/>
        <v>160.37602268308564</v>
      </c>
      <c r="AI33" s="376">
        <f t="shared" si="24"/>
        <v>169.45804091067896</v>
      </c>
      <c r="AJ33" s="376">
        <f t="shared" si="24"/>
        <v>184.78973274738365</v>
      </c>
      <c r="AK33" s="372">
        <f>GBDNZ!G101/($T33+$W33+$X33+U33+V33)</f>
        <v>118.84576420170028</v>
      </c>
      <c r="AL33" s="376">
        <f t="shared" si="25"/>
        <v>129.12044116026794</v>
      </c>
      <c r="AM33" s="376">
        <f t="shared" si="25"/>
        <v>118.76070746430339</v>
      </c>
      <c r="AN33" s="376">
        <f t="shared" si="25"/>
        <v>125.4860700956242</v>
      </c>
      <c r="AO33" s="376">
        <f t="shared" si="25"/>
        <v>136.83940420810416</v>
      </c>
      <c r="AP33" s="373"/>
      <c r="AQ33" s="373"/>
      <c r="AR33" s="373"/>
      <c r="AS33" s="373"/>
      <c r="AT33" s="371"/>
      <c r="AU33" s="371"/>
      <c r="AV33" s="371"/>
      <c r="AW33" s="371"/>
      <c r="AX33" s="371"/>
    </row>
    <row r="34" spans="1:50" x14ac:dyDescent="0.3">
      <c r="A34" s="364">
        <v>0</v>
      </c>
      <c r="B34" s="364">
        <v>2</v>
      </c>
      <c r="C34" s="364" t="s">
        <v>35</v>
      </c>
      <c r="D34" s="372">
        <f>Baseline!AN33</f>
        <v>0.30903559868571595</v>
      </c>
      <c r="E34" s="372">
        <f>Baseline!AO33</f>
        <v>0.73582873633823809</v>
      </c>
      <c r="F34" s="372">
        <f>Baseline!AP33</f>
        <v>1.3419158289374042</v>
      </c>
      <c r="G34" s="372">
        <f>Baseline!AQ33</f>
        <v>2.4472244736104138</v>
      </c>
      <c r="H34" s="372">
        <f>Baseline!AR33</f>
        <v>5.8269600641836821</v>
      </c>
      <c r="I34" s="372">
        <f>IF((D34+'Non travel METs'!C34)&gt;2.5,(D34+'Non travel METs'!C34),0.1)</f>
        <v>6.1423689320190462</v>
      </c>
      <c r="J34" s="372">
        <f>IF((E34+'Non travel METs'!D34)&gt;2.5,(E34+'Non travel METs'!D34),0.1)</f>
        <v>5.7358287363382381</v>
      </c>
      <c r="K34" s="372">
        <f>IF((F34+'Non travel METs'!E34)&gt;2.5,(F34+'Non travel METs'!E34),0.1)</f>
        <v>3.8419158289374042</v>
      </c>
      <c r="L34" s="372">
        <f>IF((G34+'Non travel METs'!F34)&gt;2.5,(G34+'Non travel METs'!F34),0.1)</f>
        <v>6.1972244736104134</v>
      </c>
      <c r="M34" s="372">
        <f>IF((H34+'Non travel METs'!G34)&gt;2.5,(H34+'Non travel METs'!G34),0.1)</f>
        <v>5.8269600641836821</v>
      </c>
      <c r="N34" s="380">
        <f t="shared" si="21"/>
        <v>0.94314906211536642</v>
      </c>
      <c r="O34" s="373">
        <f>IF(('user page'!$R$36=0),$N34^(I34^0.25),IF(('user page'!$R$36=1),$N34^(I34^0.5),IF(('user page'!$R$36=2),$N34^(I34^0.375),IF(('user page'!$R$36=4),$N34^(I34),IF(('user page'!$R$36=3),$N34^(LN(1+I34)),"")))))</f>
        <v>0.86496873217918013</v>
      </c>
      <c r="P34" s="373">
        <f>IF(('user page'!$R$36=0),$N34^(J34^0.25),IF(('user page'!$R$36=1),$N34^(J34^0.5),IF(('user page'!$R$36=2),$N34^(J34^0.375),IF(('user page'!$R$36=4),$N34^(J34),IF(('user page'!$R$36=3),$N34^(LN(1+J34)),"")))))</f>
        <v>0.86920246476653351</v>
      </c>
      <c r="Q34" s="373">
        <f>IF(('user page'!$R$36=0),$N34^(K34^0.25),IF(('user page'!$R$36=1),$N34^(K34^0.5),IF(('user page'!$R$36=2),$N34^(K34^0.375),IF(('user page'!$R$36=4),$N34^(K34),IF(('user page'!$R$36=3),$N34^(LN(1+K34)),"")))))</f>
        <v>0.89161098998226218</v>
      </c>
      <c r="R34" s="373">
        <f>IF(('user page'!$R$36=0),$N34^(L34^0.25),IF(('user page'!$R$36=1),$N34^(L34^0.5),IF(('user page'!$R$36=2),$N34^(L34^0.375),IF(('user page'!$R$36=4),$N34^(L34),IF(('user page'!$R$36=3),$N34^(LN(1+L34)),"")))))</f>
        <v>0.86440987388299739</v>
      </c>
      <c r="S34" s="373">
        <f>IF(('user page'!$R$36=0),$N34^(M34^0.25),IF(('user page'!$R$36=1),$N34^(M34^0.5),IF(('user page'!$R$36=2),$N34^(M34^0.375),IF(('user page'!$R$36=4),$N34^(M34),IF(('user page'!$R$36=3),$N34^(LN(1+M34)),"")))))</f>
        <v>0.86823887903316121</v>
      </c>
      <c r="T34" s="374">
        <f t="shared" si="22"/>
        <v>1</v>
      </c>
      <c r="U34" s="374">
        <f t="shared" si="22"/>
        <v>1.0048946654715334</v>
      </c>
      <c r="V34" s="374">
        <f t="shared" si="22"/>
        <v>1.0308014114405735</v>
      </c>
      <c r="W34" s="374">
        <f t="shared" si="22"/>
        <v>0.99935389768971794</v>
      </c>
      <c r="X34" s="374">
        <f t="shared" si="22"/>
        <v>1.0037806532563811</v>
      </c>
      <c r="Y34" s="374"/>
      <c r="Z34" s="376"/>
      <c r="AA34" s="372">
        <f>GBDNZ!E102/($T34+$W34+$X34+U34+V34)</f>
        <v>30.533233682314883</v>
      </c>
      <c r="AB34" s="376">
        <f t="shared" si="23"/>
        <v>30.682683646953969</v>
      </c>
      <c r="AC34" s="376">
        <f t="shared" si="23"/>
        <v>31.473700375575039</v>
      </c>
      <c r="AD34" s="376">
        <f t="shared" si="23"/>
        <v>30.513506089492356</v>
      </c>
      <c r="AE34" s="376">
        <f t="shared" si="23"/>
        <v>30.648669251663772</v>
      </c>
      <c r="AF34" s="372">
        <f>GBDNZ!F102/($T34+$W34+$X34+U34+V34)</f>
        <v>441.58019899267265</v>
      </c>
      <c r="AG34" s="376">
        <f t="shared" si="24"/>
        <v>443.74158634559495</v>
      </c>
      <c r="AH34" s="376">
        <f t="shared" si="24"/>
        <v>455.18149238585625</v>
      </c>
      <c r="AI34" s="376">
        <f t="shared" si="24"/>
        <v>441.29489300592866</v>
      </c>
      <c r="AJ34" s="376">
        <f t="shared" si="24"/>
        <v>443.24966060994774</v>
      </c>
      <c r="AK34" s="372">
        <f>GBDNZ!G102/($T34+$W34+$X34+U34+V34)</f>
        <v>366.98172910725509</v>
      </c>
      <c r="AL34" s="376">
        <f t="shared" si="25"/>
        <v>368.7779819054</v>
      </c>
      <c r="AM34" s="376">
        <f t="shared" si="25"/>
        <v>378.28528433666071</v>
      </c>
      <c r="AN34" s="376">
        <f t="shared" si="25"/>
        <v>366.74462136424756</v>
      </c>
      <c r="AO34" s="376">
        <f t="shared" si="25"/>
        <v>368.36915977643679</v>
      </c>
      <c r="AP34" s="373"/>
      <c r="AQ34" s="373"/>
      <c r="AR34" s="373"/>
      <c r="AS34" s="373"/>
      <c r="AT34" s="371"/>
      <c r="AU34" s="371"/>
      <c r="AV34" s="371"/>
      <c r="AW34" s="371"/>
      <c r="AX34" s="371"/>
    </row>
    <row r="35" spans="1:50" x14ac:dyDescent="0.3">
      <c r="A35" s="364">
        <v>0</v>
      </c>
      <c r="B35" s="364">
        <v>2</v>
      </c>
      <c r="C35" s="364" t="s">
        <v>34</v>
      </c>
      <c r="D35" s="372">
        <f>Baseline!AN34</f>
        <v>0.18233554535978089</v>
      </c>
      <c r="E35" s="372">
        <f>Baseline!AO34</f>
        <v>0.43414976948360384</v>
      </c>
      <c r="F35" s="372">
        <f>Baseline!AP34</f>
        <v>0.79175006224787237</v>
      </c>
      <c r="G35" s="372">
        <f>Baseline!AQ34</f>
        <v>1.4438984081809676</v>
      </c>
      <c r="H35" s="372">
        <f>Baseline!AR34</f>
        <v>3.4379920812071276</v>
      </c>
      <c r="I35" s="372">
        <f>IF((D35+'Non travel METs'!C35)&gt;2.5,(D35+'Non travel METs'!C35),0.1)</f>
        <v>6.6823355453597806</v>
      </c>
      <c r="J35" s="372">
        <f>IF((E35+'Non travel METs'!D35)&gt;2.5,(E35+'Non travel METs'!D35),0.1)</f>
        <v>3.5591497694836036</v>
      </c>
      <c r="K35" s="372">
        <f>IF((F35+'Non travel METs'!E35)&gt;2.5,(F35+'Non travel METs'!E35),0.1)</f>
        <v>0.1</v>
      </c>
      <c r="L35" s="372">
        <f>IF((G35+'Non travel METs'!F35)&gt;2.5,(G35+'Non travel METs'!F35),0.1)</f>
        <v>0.1</v>
      </c>
      <c r="M35" s="372">
        <f>IF((H35+'Non travel METs'!G35)&gt;2.5,(H35+'Non travel METs'!G35),0.1)</f>
        <v>3.4379920812071276</v>
      </c>
      <c r="N35" s="380">
        <f t="shared" si="21"/>
        <v>0.94314906211536642</v>
      </c>
      <c r="O35" s="373">
        <f>IF(('user page'!$R$36=0),$N35^(I35^0.25),IF(('user page'!$R$36=1),$N35^(I35^0.5),IF(('user page'!$R$36=2),$N35^(I35^0.375),IF(('user page'!$R$36=4),$N35^(I35),IF(('user page'!$R$36=3),$N35^(LN(1+I35)),"")))))</f>
        <v>0.85958658310141356</v>
      </c>
      <c r="P35" s="373">
        <f>IF(('user page'!$R$36=0),$N35^(J35^0.25),IF(('user page'!$R$36=1),$N35^(J35^0.5),IF(('user page'!$R$36=2),$N35^(J35^0.375),IF(('user page'!$R$36=4),$N35^(J35),IF(('user page'!$R$36=3),$N35^(LN(1+J35)),"")))))</f>
        <v>0.89545549080776299</v>
      </c>
      <c r="Q35" s="373">
        <f>IF(('user page'!$R$36=0),$N35^(K35^0.25),IF(('user page'!$R$36=1),$N35^(K35^0.5),IF(('user page'!$R$36=2),$N35^(K35^0.375),IF(('user page'!$R$36=4),$N35^(K35),IF(('user page'!$R$36=3),$N35^(LN(1+K35)),"")))))</f>
        <v>0.98166113424264856</v>
      </c>
      <c r="R35" s="373">
        <f>IF(('user page'!$R$36=0),$N35^(L35^0.25),IF(('user page'!$R$36=1),$N35^(L35^0.5),IF(('user page'!$R$36=2),$N35^(L35^0.375),IF(('user page'!$R$36=4),$N35^(L35),IF(('user page'!$R$36=3),$N35^(LN(1+L35)),"")))))</f>
        <v>0.98166113424264856</v>
      </c>
      <c r="S35" s="373">
        <f>IF(('user page'!$R$36=0),$N35^(M35^0.25),IF(('user page'!$R$36=1),$N35^(M35^0.5),IF(('user page'!$R$36=2),$N35^(M35^0.375),IF(('user page'!$R$36=4),$N35^(M35),IF(('user page'!$R$36=3),$N35^(LN(1+M35)),"")))))</f>
        <v>0.89715464626777364</v>
      </c>
      <c r="T35" s="374">
        <f t="shared" si="22"/>
        <v>1</v>
      </c>
      <c r="U35" s="374">
        <f t="shared" si="22"/>
        <v>1.0417280916332283</v>
      </c>
      <c r="V35" s="374">
        <f t="shared" si="22"/>
        <v>1.1420154217633161</v>
      </c>
      <c r="W35" s="374">
        <f t="shared" si="22"/>
        <v>1.1420154217633161</v>
      </c>
      <c r="X35" s="374">
        <f t="shared" si="22"/>
        <v>1.0437048040359278</v>
      </c>
      <c r="Y35" s="374"/>
      <c r="Z35" s="376"/>
      <c r="AA35" s="372">
        <f>GBDNZ!E103/($T35+$W35+$X35+U35+V35)</f>
        <v>258.05499284506402</v>
      </c>
      <c r="AB35" s="376">
        <f t="shared" si="23"/>
        <v>268.82313523291492</v>
      </c>
      <c r="AC35" s="376">
        <f t="shared" si="23"/>
        <v>294.70278149208531</v>
      </c>
      <c r="AD35" s="376">
        <f t="shared" si="23"/>
        <v>294.70278149208531</v>
      </c>
      <c r="AE35" s="376">
        <f t="shared" si="23"/>
        <v>269.33323573785032</v>
      </c>
      <c r="AF35" s="372">
        <f>GBDNZ!F103/($T35+$W35+$X35+U35+V35)</f>
        <v>1473.6128855178927</v>
      </c>
      <c r="AG35" s="376">
        <f t="shared" si="24"/>
        <v>1535.1039390366893</v>
      </c>
      <c r="AH35" s="376">
        <f t="shared" si="24"/>
        <v>1682.8886409705733</v>
      </c>
      <c r="AI35" s="376">
        <f t="shared" si="24"/>
        <v>1682.8886409705733</v>
      </c>
      <c r="AJ35" s="376">
        <f t="shared" si="24"/>
        <v>1538.0168479042702</v>
      </c>
      <c r="AK35" s="372">
        <f>GBDNZ!G103/($T35+$W35+$X35+U35+V35)</f>
        <v>1374.8733050585213</v>
      </c>
      <c r="AL35" s="376">
        <f t="shared" si="25"/>
        <v>1432.2441443160828</v>
      </c>
      <c r="AM35" s="376">
        <f t="shared" si="25"/>
        <v>1570.1265173475315</v>
      </c>
      <c r="AN35" s="376">
        <f t="shared" si="25"/>
        <v>1570.1265173475315</v>
      </c>
      <c r="AO35" s="376">
        <f t="shared" si="25"/>
        <v>1434.9618734303324</v>
      </c>
      <c r="AP35" s="373"/>
      <c r="AQ35" s="373"/>
      <c r="AR35" s="373"/>
      <c r="AS35" s="373"/>
      <c r="AT35" s="371"/>
      <c r="AU35" s="371"/>
      <c r="AV35" s="371"/>
      <c r="AW35" s="371"/>
      <c r="AX35" s="371"/>
    </row>
  </sheetData>
  <mergeCells count="8">
    <mergeCell ref="AF1:AJ1"/>
    <mergeCell ref="AK1:AO1"/>
    <mergeCell ref="AP1:AS1"/>
    <mergeCell ref="D1:H1"/>
    <mergeCell ref="I1:M1"/>
    <mergeCell ref="O1:S1"/>
    <mergeCell ref="T1:X1"/>
    <mergeCell ref="AA1:AE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110" zoomScaleNormal="110" zoomScalePageLayoutView="110" workbookViewId="0"/>
  </sheetViews>
  <sheetFormatPr defaultColWidth="9.1796875" defaultRowHeight="14.5" x14ac:dyDescent="0.35"/>
  <cols>
    <col min="1" max="1" width="4.453125" style="10" bestFit="1" customWidth="1"/>
    <col min="2" max="2" width="3.7265625" style="10" bestFit="1" customWidth="1"/>
    <col min="3" max="3" width="5.453125" style="10" bestFit="1" customWidth="1"/>
    <col min="4" max="7" width="1.81640625" style="10" bestFit="1" customWidth="1"/>
    <col min="8" max="13" width="2.7265625" style="10" bestFit="1" customWidth="1"/>
    <col min="14" max="14" width="4.26953125" style="10" bestFit="1" customWidth="1"/>
    <col min="15" max="24" width="3.1796875" style="10" bestFit="1" customWidth="1"/>
    <col min="25" max="25" width="3.26953125" style="10" bestFit="1" customWidth="1"/>
    <col min="26" max="26" width="7.26953125" style="12" bestFit="1" customWidth="1"/>
    <col min="27" max="31" width="1.81640625" style="10" bestFit="1" customWidth="1"/>
    <col min="32" max="36" width="2.7265625" style="10" bestFit="1" customWidth="1"/>
    <col min="37" max="41" width="5.453125" style="12" bestFit="1" customWidth="1"/>
    <col min="42" max="42" width="6.26953125" style="11" bestFit="1" customWidth="1"/>
    <col min="43" max="43" width="6.26953125" style="10" bestFit="1" customWidth="1"/>
    <col min="44" max="44" width="5" style="10" bestFit="1" customWidth="1"/>
    <col min="45" max="45" width="4.81640625" style="10" bestFit="1" customWidth="1"/>
    <col min="46" max="49" width="5.453125" style="13" customWidth="1"/>
    <col min="50" max="16384" width="9.1796875" style="10"/>
  </cols>
  <sheetData>
    <row r="1" spans="1:49" s="13" customFormat="1" ht="46.5" customHeight="1" x14ac:dyDescent="0.3">
      <c r="A1" s="20"/>
      <c r="B1" s="20"/>
      <c r="C1" s="20"/>
      <c r="D1" s="1065" t="s">
        <v>56</v>
      </c>
      <c r="E1" s="1065"/>
      <c r="F1" s="1065"/>
      <c r="G1" s="1065"/>
      <c r="H1" s="1065"/>
      <c r="I1" s="1065" t="s">
        <v>55</v>
      </c>
      <c r="J1" s="1065"/>
      <c r="K1" s="1065"/>
      <c r="L1" s="1065"/>
      <c r="M1" s="1065"/>
      <c r="N1" s="29"/>
      <c r="O1" s="1065" t="s">
        <v>54</v>
      </c>
      <c r="P1" s="1065"/>
      <c r="Q1" s="1065"/>
      <c r="R1" s="1065"/>
      <c r="S1" s="1065"/>
      <c r="T1" s="1065" t="s">
        <v>52</v>
      </c>
      <c r="U1" s="1065"/>
      <c r="V1" s="1065"/>
      <c r="W1" s="1065"/>
      <c r="X1" s="1065"/>
      <c r="Y1" s="25" t="s">
        <v>74</v>
      </c>
      <c r="Z1" s="143" t="s">
        <v>73</v>
      </c>
      <c r="AA1" s="1065" t="s">
        <v>51</v>
      </c>
      <c r="AB1" s="1065"/>
      <c r="AC1" s="1065"/>
      <c r="AD1" s="1065"/>
      <c r="AE1" s="1065"/>
      <c r="AF1" s="1065" t="s">
        <v>50</v>
      </c>
      <c r="AG1" s="1065"/>
      <c r="AH1" s="1065"/>
      <c r="AI1" s="1065"/>
      <c r="AJ1" s="1065"/>
      <c r="AK1" s="1066" t="s">
        <v>49</v>
      </c>
      <c r="AL1" s="1066"/>
      <c r="AM1" s="1066"/>
      <c r="AN1" s="1066"/>
      <c r="AO1" s="1066"/>
      <c r="AP1" s="1067" t="s">
        <v>48</v>
      </c>
      <c r="AQ1" s="1067"/>
      <c r="AR1" s="1067"/>
      <c r="AS1" s="1067"/>
    </row>
    <row r="2" spans="1:49" s="23" customFormat="1" ht="29.15" customHeight="1" x14ac:dyDescent="0.3">
      <c r="A2" s="29" t="s">
        <v>47</v>
      </c>
      <c r="B2" s="29" t="s">
        <v>46</v>
      </c>
      <c r="C2" s="29" t="s">
        <v>45</v>
      </c>
      <c r="D2" s="25">
        <v>1</v>
      </c>
      <c r="E2" s="25">
        <v>2</v>
      </c>
      <c r="F2" s="142">
        <v>3</v>
      </c>
      <c r="G2" s="142">
        <v>4</v>
      </c>
      <c r="H2" s="25">
        <v>5</v>
      </c>
      <c r="I2" s="31">
        <v>1</v>
      </c>
      <c r="J2" s="31">
        <v>2</v>
      </c>
      <c r="K2" s="142">
        <v>3</v>
      </c>
      <c r="L2" s="142">
        <v>4</v>
      </c>
      <c r="M2" s="31">
        <v>5</v>
      </c>
      <c r="N2" s="25" t="s">
        <v>44</v>
      </c>
      <c r="O2" s="29">
        <v>1</v>
      </c>
      <c r="P2" s="29">
        <v>2</v>
      </c>
      <c r="Q2" s="29">
        <v>3</v>
      </c>
      <c r="R2" s="29">
        <v>4</v>
      </c>
      <c r="S2" s="29">
        <v>5</v>
      </c>
      <c r="T2" s="142">
        <v>1</v>
      </c>
      <c r="U2" s="142">
        <v>2</v>
      </c>
      <c r="V2" s="142">
        <v>3</v>
      </c>
      <c r="W2" s="142">
        <v>4</v>
      </c>
      <c r="X2" s="142">
        <v>5</v>
      </c>
      <c r="Y2" s="29"/>
      <c r="Z2" s="143"/>
      <c r="AA2" s="142">
        <v>1</v>
      </c>
      <c r="AB2" s="142">
        <v>2</v>
      </c>
      <c r="AC2" s="142">
        <v>3</v>
      </c>
      <c r="AD2" s="142">
        <v>4</v>
      </c>
      <c r="AE2" s="142">
        <v>5</v>
      </c>
      <c r="AF2" s="142">
        <v>1</v>
      </c>
      <c r="AG2" s="142">
        <v>2</v>
      </c>
      <c r="AH2" s="142">
        <v>3</v>
      </c>
      <c r="AI2" s="142">
        <v>4</v>
      </c>
      <c r="AJ2" s="142">
        <v>5</v>
      </c>
      <c r="AK2" s="142">
        <v>1</v>
      </c>
      <c r="AL2" s="142">
        <v>2</v>
      </c>
      <c r="AM2" s="142">
        <v>3</v>
      </c>
      <c r="AN2" s="142">
        <v>4</v>
      </c>
      <c r="AO2" s="142">
        <v>5</v>
      </c>
      <c r="AP2" s="26" t="s">
        <v>43</v>
      </c>
      <c r="AQ2" s="25" t="s">
        <v>42</v>
      </c>
      <c r="AR2" s="25" t="s">
        <v>41</v>
      </c>
      <c r="AS2" s="25" t="s">
        <v>28</v>
      </c>
      <c r="AT2" s="13"/>
      <c r="AU2" s="13"/>
      <c r="AV2" s="13"/>
      <c r="AW2" s="13"/>
    </row>
    <row r="3" spans="1:49" s="13" customFormat="1" ht="13" x14ac:dyDescent="0.3">
      <c r="A3" s="20">
        <v>1</v>
      </c>
      <c r="B3" s="20">
        <v>1</v>
      </c>
      <c r="C3" s="20" t="s">
        <v>2</v>
      </c>
      <c r="D3" s="17"/>
      <c r="E3" s="17"/>
      <c r="F3" s="17"/>
      <c r="G3" s="17"/>
      <c r="H3" s="17"/>
      <c r="I3" s="17"/>
      <c r="J3" s="17"/>
      <c r="K3" s="17"/>
      <c r="L3" s="17"/>
      <c r="M3" s="17"/>
      <c r="N3" s="15"/>
      <c r="O3" s="15"/>
      <c r="P3" s="15"/>
      <c r="Q3" s="15"/>
      <c r="R3" s="15"/>
      <c r="S3" s="15"/>
      <c r="T3" s="18"/>
      <c r="U3" s="18"/>
      <c r="V3" s="18"/>
      <c r="W3" s="18"/>
      <c r="X3" s="18"/>
      <c r="Y3" s="18"/>
      <c r="Z3" s="16"/>
      <c r="AA3" s="15"/>
      <c r="AB3" s="18"/>
      <c r="AC3" s="18"/>
      <c r="AD3" s="18"/>
      <c r="AE3" s="18"/>
      <c r="AF3" s="15"/>
      <c r="AG3" s="15"/>
      <c r="AH3" s="15"/>
      <c r="AI3" s="18"/>
      <c r="AJ3" s="18"/>
      <c r="AK3" s="17"/>
      <c r="AL3" s="17"/>
      <c r="AM3" s="17"/>
      <c r="AN3" s="16"/>
      <c r="AO3" s="16"/>
      <c r="AP3" s="17"/>
      <c r="AQ3" s="17"/>
      <c r="AR3" s="17"/>
      <c r="AS3" s="17"/>
    </row>
    <row r="4" spans="1:49" s="13" customFormat="1" ht="13" x14ac:dyDescent="0.3">
      <c r="A4" s="20">
        <v>1</v>
      </c>
      <c r="B4" s="20">
        <v>1</v>
      </c>
      <c r="C4" s="20" t="s">
        <v>40</v>
      </c>
      <c r="D4" s="17"/>
      <c r="E4" s="17"/>
      <c r="F4" s="17"/>
      <c r="G4" s="17"/>
      <c r="H4" s="17"/>
      <c r="I4" s="17"/>
      <c r="J4" s="17"/>
      <c r="K4" s="17"/>
      <c r="L4" s="17"/>
      <c r="M4" s="17"/>
      <c r="N4" s="15"/>
      <c r="O4" s="15"/>
      <c r="P4" s="15"/>
      <c r="Q4" s="15"/>
      <c r="R4" s="15"/>
      <c r="S4" s="15"/>
      <c r="T4" s="18"/>
      <c r="U4" s="18"/>
      <c r="V4" s="18"/>
      <c r="W4" s="18"/>
      <c r="X4" s="18"/>
      <c r="Y4" s="18"/>
      <c r="Z4" s="16"/>
      <c r="AA4" s="15"/>
      <c r="AB4" s="18"/>
      <c r="AC4" s="18"/>
      <c r="AD4" s="18"/>
      <c r="AE4" s="18"/>
      <c r="AF4" s="15"/>
      <c r="AG4" s="15"/>
      <c r="AH4" s="15"/>
      <c r="AI4" s="18"/>
      <c r="AJ4" s="18"/>
      <c r="AK4" s="17"/>
      <c r="AL4" s="17"/>
      <c r="AM4" s="17"/>
      <c r="AN4" s="16"/>
      <c r="AO4" s="16"/>
      <c r="AP4" s="17"/>
      <c r="AQ4" s="17"/>
      <c r="AR4" s="17"/>
      <c r="AS4" s="17"/>
    </row>
    <row r="5" spans="1:49" s="13" customFormat="1" ht="13" x14ac:dyDescent="0.3">
      <c r="A5" s="20">
        <v>1</v>
      </c>
      <c r="B5" s="20">
        <v>1</v>
      </c>
      <c r="C5" s="20" t="s">
        <v>39</v>
      </c>
      <c r="D5" s="17">
        <f>Scenario!AN21</f>
        <v>0.37339203160199785</v>
      </c>
      <c r="E5" s="17">
        <f>Scenario!AO21</f>
        <v>0.89041070258950428</v>
      </c>
      <c r="F5" s="17">
        <f>Scenario!AP21</f>
        <v>1.6255263073807924</v>
      </c>
      <c r="G5" s="17">
        <f>Scenario!AQ21</f>
        <v>2.9675471872727468</v>
      </c>
      <c r="H5" s="17">
        <f>Scenario!AR21</f>
        <v>7.0765724824131357</v>
      </c>
      <c r="I5" s="17">
        <f>IF((D5+'Non travel METs'!C5)&gt;2.5,(D5+'Non travel METs'!C5),0.1)</f>
        <v>58.173392031601992</v>
      </c>
      <c r="J5" s="17">
        <f>IF((E5+'Non travel METs'!D5)&gt;2.5,(E5+'Non travel METs'!D5),0.1)</f>
        <v>41.890410702589506</v>
      </c>
      <c r="K5" s="17">
        <f>IF((F5+'Non travel METs'!E5)&gt;2.5,(F5+'Non travel METs'!E5),0.1)</f>
        <v>47.125526307380795</v>
      </c>
      <c r="L5" s="17">
        <f>IF((G5+'Non travel METs'!F5)&gt;2.5,(G5+'Non travel METs'!F5),0.1)</f>
        <v>40.892547187272747</v>
      </c>
      <c r="M5" s="17">
        <f>IF((H5+'Non travel METs'!G5)&gt;2.5,(H5+'Non travel METs'!G5),0.1)</f>
        <v>48.076572482413134</v>
      </c>
      <c r="N5" s="19">
        <f>'Phy activity RRs'!$L$4</f>
        <v>0.97795094343237232</v>
      </c>
      <c r="O5" s="15">
        <f>IF(('user page'!$R$36=0),$N5^(I5^0.25),IF(('user page'!$R$36=1),$N5^(I5^0.5),IF(('user page'!$R$36=2),$N5^(I5^0.375),IF(('user page'!$R$36=4),$N5^(I5),IF(('user page'!$R$36=3),$N5^(LN(1+I5)),"")))))</f>
        <v>0.84361997891604767</v>
      </c>
      <c r="P5" s="15">
        <f>IF(('user page'!$R$36=0),$N5^(J5^0.25),IF(('user page'!$R$36=1),$N5^(J5^0.5),IF(('user page'!$R$36=2),$N5^(J5^0.375),IF(('user page'!$R$36=4),$N5^(J5),IF(('user page'!$R$36=3),$N5^(LN(1+J5)),"")))))</f>
        <v>0.86562414950040323</v>
      </c>
      <c r="Q5" s="15">
        <f>IF(('user page'!$R$36=0),$N5^(K5^0.25),IF(('user page'!$R$36=1),$N5^(K5^0.5),IF(('user page'!$R$36=2),$N5^(K5^0.375),IF(('user page'!$R$36=4),$N5^(K5),IF(('user page'!$R$36=3),$N5^(LN(1+K5)),"")))))</f>
        <v>0.85808159866299683</v>
      </c>
      <c r="R5" s="15">
        <f>IF(('user page'!$R$36=0),$N5^(L5^0.25),IF(('user page'!$R$36=1),$N5^(L5^0.5),IF(('user page'!$R$36=2),$N5^(L5^0.375),IF(('user page'!$R$36=4),$N5^(L5),IF(('user page'!$R$36=3),$N5^(LN(1+L5)),"")))))</f>
        <v>0.86712218094497429</v>
      </c>
      <c r="S5" s="15">
        <f>IF(('user page'!$R$36=0),$N5^(M5^0.25),IF(('user page'!$R$36=1),$N5^(M5^0.5),IF(('user page'!$R$36=2),$N5^(M5^0.375),IF(('user page'!$R$36=4),$N5^(M5),IF(('user page'!$R$36=3),$N5^(LN(1+M5)),"")))))</f>
        <v>0.85676399078507903</v>
      </c>
      <c r="T5" s="18">
        <f t="shared" ref="T5:X10" si="0">O5/$O5</f>
        <v>1</v>
      </c>
      <c r="U5" s="18">
        <f t="shared" si="0"/>
        <v>1.0260830363603151</v>
      </c>
      <c r="V5" s="18">
        <f t="shared" si="0"/>
        <v>1.0171423390962488</v>
      </c>
      <c r="W5" s="18">
        <f t="shared" si="0"/>
        <v>1.0278587546718894</v>
      </c>
      <c r="X5" s="18">
        <f t="shared" si="0"/>
        <v>1.0155804890798341</v>
      </c>
      <c r="Y5" s="204">
        <f>1-Z5</f>
        <v>-2.1322722588568155E-4</v>
      </c>
      <c r="Z5" s="269">
        <f t="shared" ref="Z5:Z10" si="1">SUM(O5:S5)/SUM(O22:S22)</f>
        <v>1.0002132272258857</v>
      </c>
      <c r="AA5" s="17">
        <f>Z5*GBDNZ!$E124/($T5+$W5+$X5+U5+V5)</f>
        <v>0</v>
      </c>
      <c r="AB5" s="16">
        <f t="shared" ref="AB5:AE10" si="2">$AA5*U5</f>
        <v>0</v>
      </c>
      <c r="AC5" s="16">
        <f t="shared" si="2"/>
        <v>0</v>
      </c>
      <c r="AD5" s="16">
        <f t="shared" si="2"/>
        <v>0</v>
      </c>
      <c r="AE5" s="16">
        <f t="shared" si="2"/>
        <v>0</v>
      </c>
      <c r="AF5" s="17">
        <f>Z5*GBDNZ!$F124/($T5+$W5+$X5+U5+V5)</f>
        <v>0</v>
      </c>
      <c r="AG5" s="16">
        <f t="shared" ref="AG5:AJ10" si="3">$AF5*U5</f>
        <v>0</v>
      </c>
      <c r="AH5" s="16">
        <f t="shared" si="3"/>
        <v>0</v>
      </c>
      <c r="AI5" s="16">
        <f t="shared" si="3"/>
        <v>0</v>
      </c>
      <c r="AJ5" s="16">
        <f t="shared" si="3"/>
        <v>0</v>
      </c>
      <c r="AK5" s="17">
        <f>Z5*GBDNZ!$G124/($T5+$W5+$X5+U5+V5)</f>
        <v>715.93669990920762</v>
      </c>
      <c r="AL5" s="16">
        <f t="shared" ref="AL5:AO10" si="4">$AK5*U5</f>
        <v>734.61050288462343</v>
      </c>
      <c r="AM5" s="16">
        <f t="shared" si="4"/>
        <v>728.20952959050055</v>
      </c>
      <c r="AN5" s="16">
        <f t="shared" si="4"/>
        <v>735.88180479258028</v>
      </c>
      <c r="AO5" s="16">
        <f t="shared" si="4"/>
        <v>727.09134384399545</v>
      </c>
      <c r="AP5" s="17">
        <f>AA5+AB5+AE5+AC5+AD5-AC22-AD22-AA22-AB22-AE22</f>
        <v>0</v>
      </c>
      <c r="AQ5" s="17">
        <f>AF5+AG5+AJ5+AH5+AI5-AH22-AI22-AG22-AJ22-AF22</f>
        <v>0</v>
      </c>
      <c r="AR5" s="17">
        <f>AK5+AL5+AO5-AK22+AM5+AN5-AM22-AN22-AL22-AO22</f>
        <v>0.77635042090753359</v>
      </c>
      <c r="AS5" s="17">
        <f t="shared" ref="AS5:AS10" si="5">AQ5+AR5</f>
        <v>0.77635042090753359</v>
      </c>
    </row>
    <row r="6" spans="1:49" s="13" customFormat="1" ht="13" x14ac:dyDescent="0.3">
      <c r="A6" s="20">
        <v>1</v>
      </c>
      <c r="B6" s="20">
        <v>1</v>
      </c>
      <c r="C6" s="20" t="s">
        <v>38</v>
      </c>
      <c r="D6" s="17">
        <f>Scenario!AN22</f>
        <v>0.24273184972454737</v>
      </c>
      <c r="E6" s="17">
        <f>Scenario!AO22</f>
        <v>0.57883141192595211</v>
      </c>
      <c r="F6" s="17">
        <f>Scenario!AP22</f>
        <v>1.0567097687478921</v>
      </c>
      <c r="G6" s="17">
        <f>Scenario!AQ22</f>
        <v>1.9291204871757561</v>
      </c>
      <c r="H6" s="17">
        <f>Scenario!AR22</f>
        <v>4.600284374029961</v>
      </c>
      <c r="I6" s="17">
        <f>IF((D6+'Non travel METs'!C6)&gt;2.5,(D6+'Non travel METs'!C6),0.1)</f>
        <v>51.492731849724549</v>
      </c>
      <c r="J6" s="17">
        <f>IF((E6+'Non travel METs'!D6)&gt;2.5,(E6+'Non travel METs'!D6),0.1)</f>
        <v>51.828831411925954</v>
      </c>
      <c r="K6" s="17">
        <f>IF((F6+'Non travel METs'!E6)&gt;2.5,(F6+'Non travel METs'!E6),0.1)</f>
        <v>65.806709768747893</v>
      </c>
      <c r="L6" s="17">
        <f>IF((G6+'Non travel METs'!F6)&gt;2.5,(G6+'Non travel METs'!F6),0.1)</f>
        <v>48.054120487175759</v>
      </c>
      <c r="M6" s="17">
        <f>IF((H6+'Non travel METs'!G6)&gt;2.5,(H6+'Non travel METs'!G6),0.1)</f>
        <v>49.400284374029958</v>
      </c>
      <c r="N6" s="19">
        <f>'Phy activity RRs'!$K$4</f>
        <v>0.95590188686474464</v>
      </c>
      <c r="O6" s="15">
        <f>IF(('user page'!$R$36=0),$N6^(I6^0.25),IF(('user page'!$R$36=1),$N6^(I6^0.5),IF(('user page'!$R$36=2),$N6^(I6^0.375),IF(('user page'!$R$36=4),$N6^(I6),IF(('user page'!$R$36=3),$N6^(LN(1+I6)),"")))))</f>
        <v>0.72351749809403254</v>
      </c>
      <c r="P6" s="15">
        <f>IF(('user page'!$R$36=0),$N6^(J6^0.25),IF(('user page'!$R$36=1),$N6^(J6^0.5),IF(('user page'!$R$36=2),$N6^(J6^0.375),IF(('user page'!$R$36=4),$N6^(J6),IF(('user page'!$R$36=3),$N6^(LN(1+J6)),"")))))</f>
        <v>0.72275497207980077</v>
      </c>
      <c r="Q6" s="15">
        <f>IF(('user page'!$R$36=0),$N6^(K6^0.25),IF(('user page'!$R$36=1),$N6^(K6^0.5),IF(('user page'!$R$36=2),$N6^(K6^0.375),IF(('user page'!$R$36=4),$N6^(K6),IF(('user page'!$R$36=3),$N6^(LN(1+K6)),"")))))</f>
        <v>0.69360182631454315</v>
      </c>
      <c r="R6" s="15">
        <f>IF(('user page'!$R$36=0),$N6^(L6^0.25),IF(('user page'!$R$36=1),$N6^(L6^0.5),IF(('user page'!$R$36=2),$N6^(L6^0.375),IF(('user page'!$R$36=4),$N6^(L6),IF(('user page'!$R$36=3),$N6^(LN(1+L6)),"")))))</f>
        <v>0.73151462315524229</v>
      </c>
      <c r="S6" s="15">
        <f>IF(('user page'!$R$36=0),$N6^(M6^0.25),IF(('user page'!$R$36=1),$N6^(M6^0.5),IF(('user page'!$R$36=2),$N6^(M6^0.375),IF(('user page'!$R$36=4),$N6^(M6),IF(('user page'!$R$36=3),$N6^(LN(1+M6)),"")))))</f>
        <v>0.72834032200015542</v>
      </c>
      <c r="T6" s="18">
        <f t="shared" si="0"/>
        <v>1</v>
      </c>
      <c r="U6" s="18">
        <f t="shared" si="0"/>
        <v>0.99894608490293535</v>
      </c>
      <c r="V6" s="18">
        <f t="shared" si="0"/>
        <v>0.95865245573424762</v>
      </c>
      <c r="W6" s="18">
        <f t="shared" si="0"/>
        <v>1.0110531190776679</v>
      </c>
      <c r="X6" s="18">
        <f t="shared" si="0"/>
        <v>1.0066658013369789</v>
      </c>
      <c r="Y6" s="204">
        <f t="shared" ref="Y6:Y18" si="6">1-Z6</f>
        <v>-1.7302834884969087E-4</v>
      </c>
      <c r="Z6" s="269">
        <f t="shared" si="1"/>
        <v>1.0001730283488497</v>
      </c>
      <c r="AA6" s="17">
        <f>Z6*GBDNZ!$E125/($T6+$W6+$X6+U6+V6)</f>
        <v>0</v>
      </c>
      <c r="AB6" s="16">
        <f t="shared" si="2"/>
        <v>0</v>
      </c>
      <c r="AC6" s="16">
        <f t="shared" si="2"/>
        <v>0</v>
      </c>
      <c r="AD6" s="16">
        <f t="shared" si="2"/>
        <v>0</v>
      </c>
      <c r="AE6" s="16">
        <f t="shared" si="2"/>
        <v>0</v>
      </c>
      <c r="AF6" s="17">
        <f>Z6*GBDNZ!$F125/($T6+$W6+$X6+U6+V6)</f>
        <v>0</v>
      </c>
      <c r="AG6" s="16">
        <f t="shared" si="3"/>
        <v>0</v>
      </c>
      <c r="AH6" s="16">
        <f t="shared" si="3"/>
        <v>0</v>
      </c>
      <c r="AI6" s="16">
        <f t="shared" si="3"/>
        <v>0</v>
      </c>
      <c r="AJ6" s="16">
        <f t="shared" si="3"/>
        <v>0</v>
      </c>
      <c r="AK6" s="17">
        <f>Z6*GBDNZ!$G125/($T6+$W6+$X6+U6+V6)</f>
        <v>712.48289142849944</v>
      </c>
      <c r="AL6" s="16">
        <f t="shared" si="4"/>
        <v>711.73199495282267</v>
      </c>
      <c r="AM6" s="16">
        <f t="shared" si="4"/>
        <v>683.0234735365683</v>
      </c>
      <c r="AN6" s="16">
        <f t="shared" si="4"/>
        <v>720.35804966825981</v>
      </c>
      <c r="AO6" s="16">
        <f t="shared" si="4"/>
        <v>717.23216083875809</v>
      </c>
      <c r="AP6" s="17">
        <f t="shared" ref="AP6:AP18" si="7">AA6+AB6+AE6+AC6+AD6-AC23-AD23-AA23-AB23-AE23</f>
        <v>0</v>
      </c>
      <c r="AQ6" s="17">
        <f t="shared" ref="AQ6:AQ18" si="8">AF6+AG6+AJ6+AH6+AI6-AH23-AI23-AG23-AJ23-AF23</f>
        <v>0</v>
      </c>
      <c r="AR6" s="17">
        <f t="shared" ref="AR6:AR18" si="9">AK6+AL6+AO6-AK23+AM6+AN6-AM23-AN23-AL23-AO23</f>
        <v>0.61324972490876917</v>
      </c>
      <c r="AS6" s="17">
        <f t="shared" si="5"/>
        <v>0.61324972490876917</v>
      </c>
    </row>
    <row r="7" spans="1:49" s="13" customFormat="1" ht="13" x14ac:dyDescent="0.3">
      <c r="A7" s="20">
        <v>1</v>
      </c>
      <c r="B7" s="20">
        <v>1</v>
      </c>
      <c r="C7" s="20" t="s">
        <v>37</v>
      </c>
      <c r="D7" s="17">
        <f>Scenario!AN23</f>
        <v>0.44101223863405448</v>
      </c>
      <c r="E7" s="17">
        <f>Scenario!AO23</f>
        <v>1.0516614818156649</v>
      </c>
      <c r="F7" s="17">
        <f>Scenario!AP23</f>
        <v>1.9199043769114967</v>
      </c>
      <c r="G7" s="17">
        <f>Scenario!AQ23</f>
        <v>3.5049613209376891</v>
      </c>
      <c r="H7" s="17">
        <f>Scenario!AR23</f>
        <v>8.3581191032263789</v>
      </c>
      <c r="I7" s="17">
        <f>IF((D7+'Non travel METs'!C7)&gt;2.5,(D7+'Non travel METs'!C7),0.1)</f>
        <v>58.71601223863405</v>
      </c>
      <c r="J7" s="17">
        <f>IF((E7+'Non travel METs'!D7)&gt;2.5,(E7+'Non travel METs'!D7),0.1)</f>
        <v>62.551661481815664</v>
      </c>
      <c r="K7" s="17">
        <f>IF((F7+'Non travel METs'!E7)&gt;2.5,(F7+'Non travel METs'!E7),0.1)</f>
        <v>55.644904376911498</v>
      </c>
      <c r="L7" s="17">
        <f>IF((G7+'Non travel METs'!F7)&gt;2.5,(G7+'Non travel METs'!F7),0.1)</f>
        <v>55.704961320937691</v>
      </c>
      <c r="M7" s="17">
        <f>IF((H7+'Non travel METs'!G7)&gt;2.5,(H7+'Non travel METs'!G7),0.1)</f>
        <v>55.058119103226382</v>
      </c>
      <c r="N7" s="19">
        <f>'Phy activity RRs'!$K$4</f>
        <v>0.95590188686474464</v>
      </c>
      <c r="O7" s="15">
        <f>IF(('user page'!$R$36=0),$N7^(I7^0.25),IF(('user page'!$R$36=1),$N7^(I7^0.5),IF(('user page'!$R$36=2),$N7^(I7^0.375),IF(('user page'!$R$36=4),$N7^(I7),IF(('user page'!$R$36=3),$N7^(LN(1+I7)),"")))))</f>
        <v>0.70780620276488082</v>
      </c>
      <c r="P7" s="15">
        <f>IF(('user page'!$R$36=0),$N7^(J7^0.25),IF(('user page'!$R$36=1),$N7^(J7^0.5),IF(('user page'!$R$36=2),$N7^(J7^0.375),IF(('user page'!$R$36=4),$N7^(J7),IF(('user page'!$R$36=3),$N7^(LN(1+J7)),"")))))</f>
        <v>0.69998656734051146</v>
      </c>
      <c r="Q7" s="15">
        <f>IF(('user page'!$R$36=0),$N7^(K7^0.25),IF(('user page'!$R$36=1),$N7^(K7^0.5),IF(('user page'!$R$36=2),$N7^(K7^0.375),IF(('user page'!$R$36=4),$N7^(K7),IF(('user page'!$R$36=3),$N7^(LN(1+K7)),"")))))</f>
        <v>0.71431891268611714</v>
      </c>
      <c r="R7" s="15">
        <f>IF(('user page'!$R$36=0),$N7^(L7^0.25),IF(('user page'!$R$36=1),$N7^(L7^0.5),IF(('user page'!$R$36=2),$N7^(L7^0.375),IF(('user page'!$R$36=4),$N7^(L7),IF(('user page'!$R$36=3),$N7^(LN(1+L7)),"")))))</f>
        <v>0.71418927458007686</v>
      </c>
      <c r="S7" s="15">
        <f>IF(('user page'!$R$36=0),$N7^(M7^0.25),IF(('user page'!$R$36=1),$N7^(M7^0.5),IF(('user page'!$R$36=2),$N7^(M7^0.375),IF(('user page'!$R$36=4),$N7^(M7),IF(('user page'!$R$36=3),$N7^(LN(1+M7)),"")))))</f>
        <v>0.71559048465135133</v>
      </c>
      <c r="T7" s="18">
        <f t="shared" si="0"/>
        <v>1</v>
      </c>
      <c r="U7" s="18">
        <f t="shared" si="0"/>
        <v>0.98895229316467737</v>
      </c>
      <c r="V7" s="18">
        <f t="shared" si="0"/>
        <v>1.0092012614410497</v>
      </c>
      <c r="W7" s="18">
        <f t="shared" si="0"/>
        <v>1.0090181066374695</v>
      </c>
      <c r="X7" s="18">
        <f t="shared" si="0"/>
        <v>1.0109977587877346</v>
      </c>
      <c r="Y7" s="204">
        <f t="shared" si="6"/>
        <v>-7.8524555444658972E-5</v>
      </c>
      <c r="Z7" s="269">
        <f t="shared" si="1"/>
        <v>1.0000785245554447</v>
      </c>
      <c r="AA7" s="17">
        <f>Z7*GBDNZ!$E126/($T7+$W7+$X7+U7+V7)</f>
        <v>0</v>
      </c>
      <c r="AB7" s="16">
        <f t="shared" si="2"/>
        <v>0</v>
      </c>
      <c r="AC7" s="16">
        <f t="shared" si="2"/>
        <v>0</v>
      </c>
      <c r="AD7" s="16">
        <f t="shared" si="2"/>
        <v>0</v>
      </c>
      <c r="AE7" s="16">
        <f t="shared" si="2"/>
        <v>0</v>
      </c>
      <c r="AF7" s="17">
        <f>Z7*GBDNZ!$F126/($T7+$W7+$X7+U7+V7)</f>
        <v>0</v>
      </c>
      <c r="AG7" s="16">
        <f t="shared" si="3"/>
        <v>0</v>
      </c>
      <c r="AH7" s="16">
        <f t="shared" si="3"/>
        <v>0</v>
      </c>
      <c r="AI7" s="16">
        <f t="shared" si="3"/>
        <v>0</v>
      </c>
      <c r="AJ7" s="16">
        <f t="shared" si="3"/>
        <v>0</v>
      </c>
      <c r="AK7" s="17">
        <f>Z7*GBDNZ!$G126/($T7+$W7+$X7+U7+V7)</f>
        <v>756.04927622011155</v>
      </c>
      <c r="AL7" s="16">
        <f t="shared" si="4"/>
        <v>747.69666546337385</v>
      </c>
      <c r="AM7" s="16">
        <f t="shared" si="4"/>
        <v>763.00588327292917</v>
      </c>
      <c r="AN7" s="16">
        <f t="shared" si="4"/>
        <v>762.86740921624619</v>
      </c>
      <c r="AO7" s="16">
        <f t="shared" si="4"/>
        <v>764.36412379162164</v>
      </c>
      <c r="AP7" s="17">
        <f t="shared" si="7"/>
        <v>0</v>
      </c>
      <c r="AQ7" s="17">
        <f t="shared" si="8"/>
        <v>0</v>
      </c>
      <c r="AR7" s="17">
        <f t="shared" si="9"/>
        <v>0.29789746428264152</v>
      </c>
      <c r="AS7" s="17">
        <f t="shared" si="5"/>
        <v>0.29789746428264152</v>
      </c>
    </row>
    <row r="8" spans="1:49" s="13" customFormat="1" ht="13" x14ac:dyDescent="0.3">
      <c r="A8" s="20">
        <v>1</v>
      </c>
      <c r="B8" s="20">
        <v>1</v>
      </c>
      <c r="C8" s="20" t="s">
        <v>36</v>
      </c>
      <c r="D8" s="17">
        <f>Scenario!AN24</f>
        <v>0.39571511265083242</v>
      </c>
      <c r="E8" s="17">
        <f>Scenario!AO24</f>
        <v>0.94364352117798989</v>
      </c>
      <c r="F8" s="17">
        <f>Scenario!AP24</f>
        <v>1.7227076943294906</v>
      </c>
      <c r="G8" s="17">
        <f>Scenario!AQ24</f>
        <v>3.1449607118557816</v>
      </c>
      <c r="H8" s="17">
        <f>Scenario!AR24</f>
        <v>7.4996423063595765</v>
      </c>
      <c r="I8" s="17">
        <f>IF((D8+'Non travel METs'!C8)&gt;2.5,(D8+'Non travel METs'!C8),0.1)</f>
        <v>41.395715112650834</v>
      </c>
      <c r="J8" s="17">
        <f>IF((E8+'Non travel METs'!D8)&gt;2.5,(E8+'Non travel METs'!D8),0.1)</f>
        <v>32.193643521177989</v>
      </c>
      <c r="K8" s="17">
        <f>IF((F8+'Non travel METs'!E8)&gt;2.5,(F8+'Non travel METs'!E8),0.1)</f>
        <v>45.806041027662793</v>
      </c>
      <c r="L8" s="17">
        <f>IF((G8+'Non travel METs'!F8)&gt;2.5,(G8+'Non travel METs'!F8),0.1)</f>
        <v>45.644960711855781</v>
      </c>
      <c r="M8" s="17">
        <f>IF((H8+'Non travel METs'!G8)&gt;2.5,(H8+'Non travel METs'!G8),0.1)</f>
        <v>40.299642306359573</v>
      </c>
      <c r="N8" s="19">
        <f>'Phy activity RRs'!$K$4</f>
        <v>0.95590188686474464</v>
      </c>
      <c r="O8" s="15">
        <f>IF(('user page'!$R$36=0),$N8^(I8^0.25),IF(('user page'!$R$36=1),$N8^(I8^0.5),IF(('user page'!$R$36=2),$N8^(I8^0.375),IF(('user page'!$R$36=4),$N8^(I8),IF(('user page'!$R$36=3),$N8^(LN(1+I8)),"")))))</f>
        <v>0.74813551038635062</v>
      </c>
      <c r="P8" s="15">
        <f>IF(('user page'!$R$36=0),$N8^(J8^0.25),IF(('user page'!$R$36=1),$N8^(J8^0.5),IF(('user page'!$R$36=2),$N8^(J8^0.375),IF(('user page'!$R$36=4),$N8^(J8),IF(('user page'!$R$36=3),$N8^(LN(1+J8)),"")))))</f>
        <v>0.77422334595942899</v>
      </c>
      <c r="Q8" s="15">
        <f>IF(('user page'!$R$36=0),$N8^(K8^0.25),IF(('user page'!$R$36=1),$N8^(K8^0.5),IF(('user page'!$R$36=2),$N8^(K8^0.375),IF(('user page'!$R$36=4),$N8^(K8),IF(('user page'!$R$36=3),$N8^(LN(1+K8)),"")))))</f>
        <v>0.7369483113512787</v>
      </c>
      <c r="R8" s="15">
        <f>IF(('user page'!$R$36=0),$N8^(L8^0.25),IF(('user page'!$R$36=1),$N8^(L8^0.5),IF(('user page'!$R$36=2),$N8^(L8^0.375),IF(('user page'!$R$36=4),$N8^(L8),IF(('user page'!$R$36=3),$N8^(LN(1+L8)),"")))))</f>
        <v>0.73734428257807849</v>
      </c>
      <c r="S8" s="15">
        <f>IF(('user page'!$R$36=0),$N8^(M8^0.25),IF(('user page'!$R$36=1),$N8^(M8^0.5),IF(('user page'!$R$36=2),$N8^(M8^0.375),IF(('user page'!$R$36=4),$N8^(M8),IF(('user page'!$R$36=3),$N8^(LN(1+M8)),"")))))</f>
        <v>0.75103440449942405</v>
      </c>
      <c r="T8" s="18">
        <f t="shared" si="0"/>
        <v>1</v>
      </c>
      <c r="U8" s="18">
        <f t="shared" si="0"/>
        <v>1.0348704682653096</v>
      </c>
      <c r="V8" s="18">
        <f t="shared" si="0"/>
        <v>0.98504656057657969</v>
      </c>
      <c r="W8" s="18">
        <f t="shared" si="0"/>
        <v>0.98557583798862947</v>
      </c>
      <c r="X8" s="18">
        <f t="shared" si="0"/>
        <v>1.003874824911835</v>
      </c>
      <c r="Y8" s="204">
        <f t="shared" si="6"/>
        <v>-6.455654930876964E-4</v>
      </c>
      <c r="Z8" s="269">
        <f t="shared" si="1"/>
        <v>1.0006455654930877</v>
      </c>
      <c r="AA8" s="17">
        <f>Z8*GBDNZ!$E127/($T8+$W8+$X8+U8+V8)</f>
        <v>0</v>
      </c>
      <c r="AB8" s="16">
        <f t="shared" si="2"/>
        <v>0</v>
      </c>
      <c r="AC8" s="16">
        <f t="shared" si="2"/>
        <v>0</v>
      </c>
      <c r="AD8" s="16">
        <f t="shared" si="2"/>
        <v>0</v>
      </c>
      <c r="AE8" s="16">
        <f t="shared" si="2"/>
        <v>0</v>
      </c>
      <c r="AF8" s="17">
        <f>Z8*GBDNZ!$F127/($T8+$W8+$X8+U8+V8)</f>
        <v>0</v>
      </c>
      <c r="AG8" s="16">
        <f t="shared" si="3"/>
        <v>0</v>
      </c>
      <c r="AH8" s="16">
        <f t="shared" si="3"/>
        <v>0</v>
      </c>
      <c r="AI8" s="16">
        <f t="shared" si="3"/>
        <v>0</v>
      </c>
      <c r="AJ8" s="16">
        <f t="shared" si="3"/>
        <v>0</v>
      </c>
      <c r="AK8" s="17">
        <f>Z8*GBDNZ!$G127/($T8+$W8+$X8+U8+V8)</f>
        <v>368.25475767850304</v>
      </c>
      <c r="AL8" s="16">
        <f t="shared" si="4"/>
        <v>381.09597351968057</v>
      </c>
      <c r="AM8" s="16">
        <f t="shared" si="4"/>
        <v>362.74808246717123</v>
      </c>
      <c r="AN8" s="16">
        <f t="shared" si="4"/>
        <v>362.94299139229031</v>
      </c>
      <c r="AO8" s="16">
        <f t="shared" si="4"/>
        <v>369.68168038745745</v>
      </c>
      <c r="AP8" s="17">
        <f t="shared" si="7"/>
        <v>0</v>
      </c>
      <c r="AQ8" s="17">
        <f t="shared" si="8"/>
        <v>0</v>
      </c>
      <c r="AR8" s="17">
        <f t="shared" si="9"/>
        <v>1.1901215251028248</v>
      </c>
      <c r="AS8" s="17">
        <f t="shared" si="5"/>
        <v>1.1901215251028248</v>
      </c>
    </row>
    <row r="9" spans="1:49" s="13" customFormat="1" ht="13" x14ac:dyDescent="0.3">
      <c r="A9" s="20">
        <v>1</v>
      </c>
      <c r="B9" s="20">
        <v>1</v>
      </c>
      <c r="C9" s="20" t="s">
        <v>35</v>
      </c>
      <c r="D9" s="17">
        <f>Scenario!AN25</f>
        <v>0.48300262725816756</v>
      </c>
      <c r="E9" s="17">
        <f>Scenario!AO25</f>
        <v>1.1517940188609537</v>
      </c>
      <c r="F9" s="17">
        <f>Scenario!AP25</f>
        <v>2.1027054963483303</v>
      </c>
      <c r="G9" s="17">
        <f>Scenario!AQ25</f>
        <v>3.8386815107321977</v>
      </c>
      <c r="H9" s="17">
        <f>Scenario!AR25</f>
        <v>9.1539262000954498</v>
      </c>
      <c r="I9" s="17">
        <f>IF((D9+'Non travel METs'!C9)&gt;2.5,(D9+'Non travel METs'!C9),0.1)</f>
        <v>4.858002627258168</v>
      </c>
      <c r="J9" s="17">
        <f>IF((E9+'Non travel METs'!D9)&gt;2.5,(E9+'Non travel METs'!D9),0.1)</f>
        <v>6.1517940188609535</v>
      </c>
      <c r="K9" s="17">
        <f>IF((F9+'Non travel METs'!E9)&gt;2.5,(F9+'Non travel METs'!E9),0.1)</f>
        <v>10.43603882968166</v>
      </c>
      <c r="L9" s="17">
        <f>IF((G9+'Non travel METs'!F9)&gt;2.5,(G9+'Non travel METs'!F9),0.1)</f>
        <v>7.5886815107321972</v>
      </c>
      <c r="M9" s="17">
        <f>IF((H9+'Non travel METs'!G9)&gt;2.5,(H9+'Non travel METs'!G9),0.1)</f>
        <v>22.278926200095448</v>
      </c>
      <c r="N9" s="19">
        <f>'Phy activity RRs'!$K$4</f>
        <v>0.95590188686474464</v>
      </c>
      <c r="O9" s="15">
        <f>IF(('user page'!$R$36=0),$N9^(I9^0.25),IF(('user page'!$R$36=1),$N9^(I9^0.5),IF(('user page'!$R$36=2),$N9^(I9^0.375),IF(('user page'!$R$36=4),$N9^(I9),IF(('user page'!$R$36=3),$N9^(LN(1+I9)),"")))))</f>
        <v>0.9053765398705409</v>
      </c>
      <c r="P9" s="15">
        <f>IF(('user page'!$R$36=0),$N9^(J9^0.25),IF(('user page'!$R$36=1),$N9^(J9^0.5),IF(('user page'!$R$36=2),$N9^(J9^0.375),IF(('user page'!$R$36=4),$N9^(J9),IF(('user page'!$R$36=3),$N9^(LN(1+J9)),"")))))</f>
        <v>0.89416882913070617</v>
      </c>
      <c r="Q9" s="15">
        <f>IF(('user page'!$R$36=0),$N9^(K9^0.25),IF(('user page'!$R$36=1),$N9^(K9^0.5),IF(('user page'!$R$36=2),$N9^(K9^0.375),IF(('user page'!$R$36=4),$N9^(K9),IF(('user page'!$R$36=3),$N9^(LN(1+K9)),"")))))</f>
        <v>0.86442138767816612</v>
      </c>
      <c r="R9" s="15">
        <f>IF(('user page'!$R$36=0),$N9^(L9^0.25),IF(('user page'!$R$36=1),$N9^(L9^0.5),IF(('user page'!$R$36=2),$N9^(L9^0.375),IF(('user page'!$R$36=4),$N9^(L9),IF(('user page'!$R$36=3),$N9^(LN(1+L9)),"")))))</f>
        <v>0.88316829418733944</v>
      </c>
      <c r="S9" s="15">
        <f>IF(('user page'!$R$36=0),$N9^(M9^0.25),IF(('user page'!$R$36=1),$N9^(M9^0.5),IF(('user page'!$R$36=2),$N9^(M9^0.375),IF(('user page'!$R$36=4),$N9^(M9),IF(('user page'!$R$36=3),$N9^(LN(1+M9)),"")))))</f>
        <v>0.80825755591856441</v>
      </c>
      <c r="T9" s="18">
        <f t="shared" si="0"/>
        <v>1</v>
      </c>
      <c r="U9" s="18">
        <f t="shared" si="0"/>
        <v>0.98762093974575782</v>
      </c>
      <c r="V9" s="18">
        <f t="shared" si="0"/>
        <v>0.95476450914198541</v>
      </c>
      <c r="W9" s="18">
        <f t="shared" si="0"/>
        <v>0.97547070781580336</v>
      </c>
      <c r="X9" s="18">
        <f t="shared" si="0"/>
        <v>0.8927308366463047</v>
      </c>
      <c r="Y9" s="204">
        <f t="shared" si="6"/>
        <v>-1.2749268692018312E-3</v>
      </c>
      <c r="Z9" s="269">
        <f t="shared" si="1"/>
        <v>1.0012749268692018</v>
      </c>
      <c r="AA9" s="17">
        <f>Z9*GBDNZ!$E128/($T9+$W9+$X9+U9+V9)</f>
        <v>0</v>
      </c>
      <c r="AB9" s="16">
        <f t="shared" si="2"/>
        <v>0</v>
      </c>
      <c r="AC9" s="16">
        <f t="shared" si="2"/>
        <v>0</v>
      </c>
      <c r="AD9" s="16">
        <f t="shared" si="2"/>
        <v>0</v>
      </c>
      <c r="AE9" s="16">
        <f t="shared" si="2"/>
        <v>0</v>
      </c>
      <c r="AF9" s="17">
        <f>Z9*GBDNZ!$F128/($T9+$W9+$X9+U9+V9)</f>
        <v>0</v>
      </c>
      <c r="AG9" s="16">
        <f t="shared" si="3"/>
        <v>0</v>
      </c>
      <c r="AH9" s="16">
        <f t="shared" si="3"/>
        <v>0</v>
      </c>
      <c r="AI9" s="16">
        <f t="shared" si="3"/>
        <v>0</v>
      </c>
      <c r="AJ9" s="16">
        <f t="shared" si="3"/>
        <v>0</v>
      </c>
      <c r="AK9" s="17">
        <f>Z9*GBDNZ!$G128/($T9+$W9+$X9+U9+V9)</f>
        <v>181.95178898169954</v>
      </c>
      <c r="AL9" s="16">
        <f t="shared" si="4"/>
        <v>179.69939682252792</v>
      </c>
      <c r="AM9" s="16">
        <f t="shared" si="4"/>
        <v>173.72111049461847</v>
      </c>
      <c r="AN9" s="16">
        <f t="shared" si="4"/>
        <v>177.48864038633013</v>
      </c>
      <c r="AO9" s="16">
        <f t="shared" si="4"/>
        <v>162.43397280692452</v>
      </c>
      <c r="AP9" s="17">
        <f t="shared" si="7"/>
        <v>0</v>
      </c>
      <c r="AQ9" s="17">
        <f t="shared" si="8"/>
        <v>0</v>
      </c>
      <c r="AR9" s="17">
        <f t="shared" si="9"/>
        <v>1.1145160721007414</v>
      </c>
      <c r="AS9" s="17">
        <f t="shared" si="5"/>
        <v>1.1145160721007414</v>
      </c>
    </row>
    <row r="10" spans="1:49" s="13" customFormat="1" ht="13" x14ac:dyDescent="0.3">
      <c r="A10" s="20">
        <v>1</v>
      </c>
      <c r="B10" s="20">
        <v>1</v>
      </c>
      <c r="C10" s="20" t="s">
        <v>34</v>
      </c>
      <c r="D10" s="17">
        <f>Scenario!AN26</f>
        <v>0.23447740333822151</v>
      </c>
      <c r="E10" s="17">
        <f>Scenario!AO26</f>
        <v>0.55914741552463088</v>
      </c>
      <c r="F10" s="17">
        <f>Scenario!AP26</f>
        <v>1.0207748300823047</v>
      </c>
      <c r="G10" s="17">
        <f>Scenario!AQ26</f>
        <v>1.8635179646710851</v>
      </c>
      <c r="H10" s="17">
        <f>Scenario!AR26</f>
        <v>4.4438450737470596</v>
      </c>
      <c r="I10" s="17">
        <f>IF((D10+'Non travel METs'!C10)&gt;2.5,(D10+'Non travel METs'!C10),0.1)</f>
        <v>0.1</v>
      </c>
      <c r="J10" s="17">
        <f>IF((E10+'Non travel METs'!D10)&gt;2.5,(E10+'Non travel METs'!D10),0.1)</f>
        <v>10.559147415524631</v>
      </c>
      <c r="K10" s="17">
        <f>IF((F10+'Non travel METs'!E10)&gt;2.5,(F10+'Non travel METs'!E10),0.1)</f>
        <v>4.7707748300823045</v>
      </c>
      <c r="L10" s="17">
        <f>IF((G10+'Non travel METs'!F10)&gt;2.5,(G10+'Non travel METs'!F10),0.1)</f>
        <v>7.0718512980044155</v>
      </c>
      <c r="M10" s="17">
        <f>IF((H10+'Non travel METs'!G10)&gt;2.5,(H10+'Non travel METs'!G10),0.1)</f>
        <v>4.4438450737470596</v>
      </c>
      <c r="N10" s="19">
        <f>'Phy activity RRs'!$K$4</f>
        <v>0.95590188686474464</v>
      </c>
      <c r="O10" s="15">
        <f>IF(('user page'!$R$36=0),$N10^(I10^0.25),IF(('user page'!$R$36=1),$N10^(I10^0.5),IF(('user page'!$R$36=2),$N10^(I10^0.375),IF(('user page'!$R$36=4),$N10^(I10),IF(('user page'!$R$36=3),$N10^(LN(1+I10)),"")))))</f>
        <v>0.985839346491721</v>
      </c>
      <c r="P10" s="15">
        <f>IF(('user page'!$R$36=0),$N10^(J10^0.25),IF(('user page'!$R$36=1),$N10^(J10^0.5),IF(('user page'!$R$36=2),$N10^(J10^0.375),IF(('user page'!$R$36=4),$N10^(J10),IF(('user page'!$R$36=3),$N10^(LN(1+J10)),"")))))</f>
        <v>0.86368104745193919</v>
      </c>
      <c r="Q10" s="15">
        <f>IF(('user page'!$R$36=0),$N10^(K10^0.25),IF(('user page'!$R$36=1),$N10^(K10^0.5),IF(('user page'!$R$36=2),$N10^(K10^0.375),IF(('user page'!$R$36=4),$N10^(K10),IF(('user page'!$R$36=3),$N10^(LN(1+K10)),"")))))</f>
        <v>0.9061885458867075</v>
      </c>
      <c r="R10" s="15">
        <f>IF(('user page'!$R$36=0),$N10^(L10^0.25),IF(('user page'!$R$36=1),$N10^(L10^0.5),IF(('user page'!$R$36=2),$N10^(L10^0.375),IF(('user page'!$R$36=4),$N10^(L10),IF(('user page'!$R$36=3),$N10^(LN(1+L10)),"")))))</f>
        <v>0.88697878347335957</v>
      </c>
      <c r="S10" s="15">
        <f>IF(('user page'!$R$36=0),$N10^(M10^0.25),IF(('user page'!$R$36=1),$N10^(M10^0.5),IF(('user page'!$R$36=2),$N10^(M10^0.375),IF(('user page'!$R$36=4),$N10^(M10),IF(('user page'!$R$36=3),$N10^(LN(1+M10)),"")))))</f>
        <v>0.90930679182524643</v>
      </c>
      <c r="T10" s="18">
        <f t="shared" si="0"/>
        <v>1</v>
      </c>
      <c r="U10" s="18">
        <f t="shared" si="0"/>
        <v>0.87608701207300854</v>
      </c>
      <c r="V10" s="18">
        <f t="shared" si="0"/>
        <v>0.91920509067885692</v>
      </c>
      <c r="W10" s="18">
        <f t="shared" si="0"/>
        <v>0.89971939812488333</v>
      </c>
      <c r="X10" s="18">
        <f t="shared" si="0"/>
        <v>0.92236812728277806</v>
      </c>
      <c r="Y10" s="204">
        <f t="shared" si="6"/>
        <v>-1.0966931517510936E-3</v>
      </c>
      <c r="Z10" s="269">
        <f t="shared" si="1"/>
        <v>1.0010966931517511</v>
      </c>
      <c r="AA10" s="17">
        <f>Z10*GBDNZ!$E129/($T10+$W10+$X10+U10+V10)</f>
        <v>0</v>
      </c>
      <c r="AB10" s="16">
        <f t="shared" si="2"/>
        <v>0</v>
      </c>
      <c r="AC10" s="16">
        <f t="shared" si="2"/>
        <v>0</v>
      </c>
      <c r="AD10" s="16">
        <f t="shared" si="2"/>
        <v>0</v>
      </c>
      <c r="AE10" s="16">
        <f t="shared" si="2"/>
        <v>0</v>
      </c>
      <c r="AF10" s="17">
        <f>Z10*GBDNZ!$F129/($T10+$W10+$X10+U10+V10)</f>
        <v>0</v>
      </c>
      <c r="AG10" s="16">
        <f t="shared" si="3"/>
        <v>0</v>
      </c>
      <c r="AH10" s="16">
        <f t="shared" si="3"/>
        <v>0</v>
      </c>
      <c r="AI10" s="16">
        <f t="shared" si="3"/>
        <v>0</v>
      </c>
      <c r="AJ10" s="16">
        <f t="shared" si="3"/>
        <v>0</v>
      </c>
      <c r="AK10" s="17">
        <f>Z10*GBDNZ!$G129/($T10+$W10+$X10+U10+V10)</f>
        <v>91.734065247813476</v>
      </c>
      <c r="AL10" s="16">
        <f t="shared" si="4"/>
        <v>80.36702312826732</v>
      </c>
      <c r="AM10" s="16">
        <f t="shared" si="4"/>
        <v>84.322419764456569</v>
      </c>
      <c r="AN10" s="16">
        <f t="shared" si="4"/>
        <v>82.534917972311518</v>
      </c>
      <c r="AO10" s="16">
        <f t="shared" si="4"/>
        <v>84.612577970661889</v>
      </c>
      <c r="AP10" s="17">
        <f t="shared" si="7"/>
        <v>0</v>
      </c>
      <c r="AQ10" s="17">
        <f t="shared" si="8"/>
        <v>0</v>
      </c>
      <c r="AR10" s="17">
        <f t="shared" si="9"/>
        <v>0.46401853351083844</v>
      </c>
      <c r="AS10" s="17">
        <f t="shared" si="5"/>
        <v>0.46401853351083844</v>
      </c>
    </row>
    <row r="11" spans="1:49" s="13" customFormat="1" ht="13" x14ac:dyDescent="0.3">
      <c r="A11" s="20">
        <v>1</v>
      </c>
      <c r="B11" s="20">
        <v>2</v>
      </c>
      <c r="C11" s="20" t="s">
        <v>2</v>
      </c>
      <c r="D11" s="17"/>
      <c r="E11" s="17"/>
      <c r="F11" s="17"/>
      <c r="G11" s="17"/>
      <c r="H11" s="17"/>
      <c r="I11" s="17">
        <f>IF((D11+'Non travel METs'!C11)&gt;2.5,(D11+'Non travel METs'!C11),0.1)</f>
        <v>0.1</v>
      </c>
      <c r="J11" s="17">
        <f>IF((E11+'Non travel METs'!D11)&gt;2.5,(E11+'Non travel METs'!D11),0.1)</f>
        <v>0.1</v>
      </c>
      <c r="K11" s="17">
        <f>IF((F11+'Non travel METs'!E11)&gt;2.5,(F11+'Non travel METs'!E11),0.1)</f>
        <v>0.1</v>
      </c>
      <c r="L11" s="17">
        <f>IF((G11+'Non travel METs'!F11)&gt;2.5,(G11+'Non travel METs'!F11),0.1)</f>
        <v>0.1</v>
      </c>
      <c r="M11" s="17">
        <f>IF((H11+'Non travel METs'!G11)&gt;2.5,(H11+'Non travel METs'!G11),0.1)</f>
        <v>0.1</v>
      </c>
      <c r="N11" s="19"/>
      <c r="O11" s="15"/>
      <c r="P11" s="15"/>
      <c r="Q11" s="15"/>
      <c r="R11" s="15"/>
      <c r="S11" s="15"/>
      <c r="T11" s="18"/>
      <c r="U11" s="18"/>
      <c r="V11" s="18"/>
      <c r="W11" s="18"/>
      <c r="X11" s="18"/>
      <c r="Y11" s="204"/>
      <c r="Z11" s="269"/>
      <c r="AA11" s="17"/>
      <c r="AB11" s="16"/>
      <c r="AC11" s="16"/>
      <c r="AD11" s="16"/>
      <c r="AE11" s="16"/>
      <c r="AF11" s="17"/>
      <c r="AG11" s="16"/>
      <c r="AH11" s="16"/>
      <c r="AI11" s="16"/>
      <c r="AJ11" s="16"/>
      <c r="AK11" s="17"/>
      <c r="AL11" s="16"/>
      <c r="AM11" s="16"/>
      <c r="AN11" s="16"/>
      <c r="AO11" s="16"/>
      <c r="AP11" s="17"/>
      <c r="AQ11" s="17"/>
      <c r="AR11" s="17"/>
      <c r="AS11" s="17"/>
    </row>
    <row r="12" spans="1:49" s="13" customFormat="1" ht="13" x14ac:dyDescent="0.3">
      <c r="A12" s="20">
        <v>1</v>
      </c>
      <c r="B12" s="20">
        <v>2</v>
      </c>
      <c r="C12" s="20" t="s">
        <v>40</v>
      </c>
      <c r="D12" s="17"/>
      <c r="E12" s="17"/>
      <c r="F12" s="17"/>
      <c r="G12" s="17"/>
      <c r="H12" s="17"/>
      <c r="I12" s="17">
        <f>IF((D12+'Non travel METs'!C12)&gt;2.5,(D12+'Non travel METs'!C12),0.1)</f>
        <v>0.1</v>
      </c>
      <c r="J12" s="17">
        <f>IF((E12+'Non travel METs'!D12)&gt;2.5,(E12+'Non travel METs'!D12),0.1)</f>
        <v>0.1</v>
      </c>
      <c r="K12" s="17">
        <f>IF((F12+'Non travel METs'!E12)&gt;2.5,(F12+'Non travel METs'!E12),0.1)</f>
        <v>0.1</v>
      </c>
      <c r="L12" s="17">
        <f>IF((G12+'Non travel METs'!F12)&gt;2.5,(G12+'Non travel METs'!F12),0.1)</f>
        <v>0.1</v>
      </c>
      <c r="M12" s="17">
        <f>IF((H12+'Non travel METs'!G12)&gt;2.5,(H12+'Non travel METs'!G12),0.1)</f>
        <v>0.1</v>
      </c>
      <c r="N12" s="19"/>
      <c r="O12" s="15"/>
      <c r="P12" s="15"/>
      <c r="Q12" s="15"/>
      <c r="R12" s="15"/>
      <c r="S12" s="15"/>
      <c r="T12" s="18"/>
      <c r="U12" s="18"/>
      <c r="V12" s="18"/>
      <c r="W12" s="18"/>
      <c r="X12" s="18"/>
      <c r="Y12" s="204"/>
      <c r="Z12" s="269"/>
      <c r="AA12" s="17"/>
      <c r="AB12" s="16"/>
      <c r="AC12" s="16"/>
      <c r="AD12" s="16"/>
      <c r="AE12" s="16"/>
      <c r="AF12" s="17"/>
      <c r="AG12" s="16"/>
      <c r="AH12" s="16"/>
      <c r="AI12" s="16"/>
      <c r="AJ12" s="16"/>
      <c r="AK12" s="17"/>
      <c r="AL12" s="16"/>
      <c r="AM12" s="16"/>
      <c r="AN12" s="16"/>
      <c r="AO12" s="16"/>
      <c r="AP12" s="17"/>
      <c r="AQ12" s="17"/>
      <c r="AR12" s="17"/>
      <c r="AS12" s="17"/>
    </row>
    <row r="13" spans="1:49" s="13" customFormat="1" ht="13" x14ac:dyDescent="0.3">
      <c r="A13" s="20">
        <v>1</v>
      </c>
      <c r="B13" s="20">
        <v>2</v>
      </c>
      <c r="C13" s="20" t="s">
        <v>39</v>
      </c>
      <c r="D13" s="17">
        <f>Scenario!AN29</f>
        <v>0.36317941114117153</v>
      </c>
      <c r="E13" s="17">
        <f>Scenario!AO29</f>
        <v>0.86605713906863857</v>
      </c>
      <c r="F13" s="17">
        <f>Scenario!AP29</f>
        <v>1.5810666461632132</v>
      </c>
      <c r="G13" s="17">
        <f>Scenario!AQ29</f>
        <v>2.8863820028064824</v>
      </c>
      <c r="H13" s="17">
        <f>Scenario!AR29</f>
        <v>6.8830216221648746</v>
      </c>
      <c r="I13" s="17">
        <f>IF((D13+'Non travel METs'!C13)&gt;2.5,(D13+'Non travel METs'!C13),0.1)</f>
        <v>9.2298460778078422</v>
      </c>
      <c r="J13" s="17">
        <f>IF((E13+'Non travel METs'!D13)&gt;2.5,(E13+'Non travel METs'!D13),0.1)</f>
        <v>25.466057139068639</v>
      </c>
      <c r="K13" s="17">
        <f>IF((F13+'Non travel METs'!E13)&gt;2.5,(F13+'Non travel METs'!E13),0.1)</f>
        <v>31.431066646163213</v>
      </c>
      <c r="L13" s="17">
        <f>IF((G13+'Non travel METs'!F13)&gt;2.5,(G13+'Non travel METs'!F13),0.1)</f>
        <v>33.286382002806484</v>
      </c>
      <c r="M13" s="17">
        <f>IF((H13+'Non travel METs'!G13)&gt;2.5,(H13+'Non travel METs'!G13),0.1)</f>
        <v>47.883021622164875</v>
      </c>
      <c r="N13" s="19">
        <f>'Phy activity RRs'!$L$4</f>
        <v>0.97795094343237232</v>
      </c>
      <c r="O13" s="15">
        <f>IF(('user page'!$R$36=0),$N13^(I13^0.25),IF(('user page'!$R$36=1),$N13^(I13^0.5),IF(('user page'!$R$36=2),$N13^(I13^0.375),IF(('user page'!$R$36=4),$N13^(I13),IF(('user page'!$R$36=3),$N13^(LN(1+I13)),"")))))</f>
        <v>0.93450712701882799</v>
      </c>
      <c r="P13" s="15">
        <f>IF(('user page'!$R$36=0),$N13^(J13^0.25),IF(('user page'!$R$36=1),$N13^(J13^0.5),IF(('user page'!$R$36=2),$N13^(J13^0.375),IF(('user page'!$R$36=4),$N13^(J13),IF(('user page'!$R$36=3),$N13^(LN(1+J13)),"")))))</f>
        <v>0.89358558428099399</v>
      </c>
      <c r="Q13" s="15">
        <f>IF(('user page'!$R$36=0),$N13^(K13^0.25),IF(('user page'!$R$36=1),$N13^(K13^0.5),IF(('user page'!$R$36=2),$N13^(K13^0.375),IF(('user page'!$R$36=4),$N13^(K13),IF(('user page'!$R$36=3),$N13^(LN(1+K13)),"")))))</f>
        <v>0.88249892745538749</v>
      </c>
      <c r="R13" s="15">
        <f>IF(('user page'!$R$36=0),$N13^(L13^0.25),IF(('user page'!$R$36=1),$N13^(L13^0.5),IF(('user page'!$R$36=2),$N13^(L13^0.375),IF(('user page'!$R$36=4),$N13^(L13),IF(('user page'!$R$36=3),$N13^(LN(1+L13)),"")))))</f>
        <v>0.87929572807120804</v>
      </c>
      <c r="S13" s="15">
        <f>IF(('user page'!$R$36=0),$N13^(M13^0.25),IF(('user page'!$R$36=1),$N13^(M13^0.5),IF(('user page'!$R$36=2),$N13^(M13^0.375),IF(('user page'!$R$36=4),$N13^(M13),IF(('user page'!$R$36=3),$N13^(LN(1+M13)),"")))))</f>
        <v>0.85703091468248893</v>
      </c>
      <c r="T13" s="18">
        <f t="shared" ref="T13:X18" si="10">O13/$O13</f>
        <v>1</v>
      </c>
      <c r="U13" s="18">
        <f t="shared" si="10"/>
        <v>0.95621056110253777</v>
      </c>
      <c r="V13" s="18">
        <f t="shared" si="10"/>
        <v>0.94434692036073398</v>
      </c>
      <c r="W13" s="18">
        <f t="shared" si="10"/>
        <v>0.94091923180537973</v>
      </c>
      <c r="X13" s="18">
        <f t="shared" si="10"/>
        <v>0.91709403802676603</v>
      </c>
      <c r="Y13" s="204">
        <f t="shared" si="6"/>
        <v>-2.8912496087496464E-4</v>
      </c>
      <c r="Z13" s="269">
        <f t="shared" ref="Z13:Z18" si="11">SUM(O13:S13)/SUM(O30:S30)</f>
        <v>1.000289124960875</v>
      </c>
      <c r="AA13" s="17">
        <f>Z13*GBDNZ!$E132/($T13+$W13+$X13+U13+V13)</f>
        <v>0</v>
      </c>
      <c r="AB13" s="16">
        <f t="shared" ref="AB13:AE18" si="12">$AA13*U13</f>
        <v>0</v>
      </c>
      <c r="AC13" s="16">
        <f t="shared" si="12"/>
        <v>0</v>
      </c>
      <c r="AD13" s="16">
        <f t="shared" si="12"/>
        <v>0</v>
      </c>
      <c r="AE13" s="16">
        <f t="shared" si="12"/>
        <v>0</v>
      </c>
      <c r="AF13" s="17">
        <f>Z13*GBDNZ!$F132/($T13+$W13+$X13+U13+V13)</f>
        <v>0</v>
      </c>
      <c r="AG13" s="16">
        <f t="shared" ref="AG13:AJ18" si="13">$AF13*U13</f>
        <v>0</v>
      </c>
      <c r="AH13" s="16">
        <f t="shared" si="13"/>
        <v>0</v>
      </c>
      <c r="AI13" s="16">
        <f t="shared" si="13"/>
        <v>0</v>
      </c>
      <c r="AJ13" s="16">
        <f t="shared" si="13"/>
        <v>0</v>
      </c>
      <c r="AK13" s="17">
        <f>Z13*GBDNZ!$G132/($T13+$W13+$X13+U13+V13)</f>
        <v>1330.7196593887056</v>
      </c>
      <c r="AL13" s="16">
        <f t="shared" ref="AL13:AO18" si="14">$AK13*U13</f>
        <v>1272.4481921742522</v>
      </c>
      <c r="AM13" s="16">
        <f t="shared" si="14"/>
        <v>1256.6610122072091</v>
      </c>
      <c r="AN13" s="16">
        <f t="shared" si="14"/>
        <v>1252.0997196603375</v>
      </c>
      <c r="AO13" s="16">
        <f t="shared" si="14"/>
        <v>1220.3950659103907</v>
      </c>
      <c r="AP13" s="17">
        <f t="shared" si="7"/>
        <v>0</v>
      </c>
      <c r="AQ13" s="17">
        <f t="shared" si="8"/>
        <v>0</v>
      </c>
      <c r="AR13" s="17">
        <f t="shared" si="9"/>
        <v>1.830303640896318</v>
      </c>
      <c r="AS13" s="17">
        <f t="shared" ref="AS13:AS18" si="15">AQ13+AR13</f>
        <v>1.830303640896318</v>
      </c>
    </row>
    <row r="14" spans="1:49" s="13" customFormat="1" ht="13" x14ac:dyDescent="0.3">
      <c r="A14" s="20">
        <v>1</v>
      </c>
      <c r="B14" s="20">
        <v>2</v>
      </c>
      <c r="C14" s="20" t="s">
        <v>38</v>
      </c>
      <c r="D14" s="17">
        <f>Scenario!AN30</f>
        <v>0.30288827772466836</v>
      </c>
      <c r="E14" s="17">
        <f>Scenario!AO30</f>
        <v>0.72228366261017962</v>
      </c>
      <c r="F14" s="17">
        <f>Scenario!AP30</f>
        <v>1.3185949939165058</v>
      </c>
      <c r="G14" s="17">
        <f>Scenario!AQ30</f>
        <v>2.4072159568145346</v>
      </c>
      <c r="H14" s="17">
        <f>Scenario!AR30</f>
        <v>5.7403765211480957</v>
      </c>
      <c r="I14" s="17">
        <f>IF((D14+'Non travel METs'!C14)&gt;2.5,(D14+'Non travel METs'!C14),0.1)</f>
        <v>41.302888277724669</v>
      </c>
      <c r="J14" s="17">
        <f>IF((E14+'Non travel METs'!D14)&gt;2.5,(E14+'Non travel METs'!D14),0.1)</f>
        <v>36.597283662610181</v>
      </c>
      <c r="K14" s="17">
        <f>IF((F14+'Non travel METs'!E14)&gt;2.5,(F14+'Non travel METs'!E14),0.1)</f>
        <v>40.168594993916507</v>
      </c>
      <c r="L14" s="17">
        <f>IF((G14+'Non travel METs'!F14)&gt;2.5,(G14+'Non travel METs'!F14),0.1)</f>
        <v>43.407215956814532</v>
      </c>
      <c r="M14" s="17">
        <f>IF((H14+'Non travel METs'!G14)&gt;2.5,(H14+'Non travel METs'!G14),0.1)</f>
        <v>48.007043187814794</v>
      </c>
      <c r="N14" s="19">
        <f>'Phy activity RRs'!$K$4</f>
        <v>0.95590188686474464</v>
      </c>
      <c r="O14" s="15">
        <f>IF(('user page'!$R$36=0),$N14^(I14^0.25),IF(('user page'!$R$36=1),$N14^(I14^0.5),IF(('user page'!$R$36=2),$N14^(I14^0.375),IF(('user page'!$R$36=4),$N14^(I14),IF(('user page'!$R$36=3),$N14^(LN(1+I14)),"")))))</f>
        <v>0.74837908780616169</v>
      </c>
      <c r="P14" s="15">
        <f>IF(('user page'!$R$36=0),$N14^(J14^0.25),IF(('user page'!$R$36=1),$N14^(J14^0.5),IF(('user page'!$R$36=2),$N14^(J14^0.375),IF(('user page'!$R$36=4),$N14^(J14),IF(('user page'!$R$36=3),$N14^(LN(1+J14)),"")))))</f>
        <v>0.76121795460949815</v>
      </c>
      <c r="Q14" s="15">
        <f>IF(('user page'!$R$36=0),$N14^(K14^0.25),IF(('user page'!$R$36=1),$N14^(K14^0.5),IF(('user page'!$R$36=2),$N14^(K14^0.375),IF(('user page'!$R$36=4),$N14^(K14),IF(('user page'!$R$36=3),$N14^(LN(1+K14)),"")))))</f>
        <v>0.7513843807421462</v>
      </c>
      <c r="R14" s="15">
        <f>IF(('user page'!$R$36=0),$N14^(L14^0.25),IF(('user page'!$R$36=1),$N14^(L14^0.5),IF(('user page'!$R$36=2),$N14^(L14^0.375),IF(('user page'!$R$36=4),$N14^(L14),IF(('user page'!$R$36=3),$N14^(LN(1+L14)),"")))))</f>
        <v>0.74294182905354345</v>
      </c>
      <c r="S14" s="15">
        <f>IF(('user page'!$R$36=0),$N14^(M14^0.25),IF(('user page'!$R$36=1),$N14^(M14^0.5),IF(('user page'!$R$36=2),$N14^(M14^0.375),IF(('user page'!$R$36=4),$N14^(M14),IF(('user page'!$R$36=3),$N14^(LN(1+M14)),"")))))</f>
        <v>0.73162668440240752</v>
      </c>
      <c r="T14" s="18">
        <f t="shared" si="10"/>
        <v>1</v>
      </c>
      <c r="U14" s="18">
        <f t="shared" si="10"/>
        <v>1.0171555659591891</v>
      </c>
      <c r="V14" s="18">
        <f t="shared" si="10"/>
        <v>1.0040157361221762</v>
      </c>
      <c r="W14" s="18">
        <f t="shared" si="10"/>
        <v>0.99273461960494203</v>
      </c>
      <c r="X14" s="18">
        <f t="shared" si="10"/>
        <v>0.97761508348280679</v>
      </c>
      <c r="Y14" s="204">
        <f t="shared" si="6"/>
        <v>-4.1507416965314015E-4</v>
      </c>
      <c r="Z14" s="269">
        <f t="shared" si="11"/>
        <v>1.0004150741696531</v>
      </c>
      <c r="AA14" s="17">
        <f>Z14*GBDNZ!$E133/($T14+$W14+$X14+U14+V14)</f>
        <v>0</v>
      </c>
      <c r="AB14" s="16">
        <f t="shared" si="12"/>
        <v>0</v>
      </c>
      <c r="AC14" s="16">
        <f t="shared" si="12"/>
        <v>0</v>
      </c>
      <c r="AD14" s="16">
        <f t="shared" si="12"/>
        <v>0</v>
      </c>
      <c r="AE14" s="16">
        <f t="shared" si="12"/>
        <v>0</v>
      </c>
      <c r="AF14" s="17">
        <f>Z14*GBDNZ!$F133/($T14+$W14+$X14+U14+V14)</f>
        <v>0</v>
      </c>
      <c r="AG14" s="16">
        <f t="shared" si="13"/>
        <v>0</v>
      </c>
      <c r="AH14" s="16">
        <f t="shared" si="13"/>
        <v>0</v>
      </c>
      <c r="AI14" s="16">
        <f t="shared" si="13"/>
        <v>0</v>
      </c>
      <c r="AJ14" s="16">
        <f t="shared" si="13"/>
        <v>0</v>
      </c>
      <c r="AK14" s="17">
        <f>Z14*GBDNZ!$G133/($T14+$W14+$X14+U14+V14)</f>
        <v>1225.613540097758</v>
      </c>
      <c r="AL14" s="16">
        <f t="shared" si="14"/>
        <v>1246.6396340253802</v>
      </c>
      <c r="AM14" s="16">
        <f t="shared" si="14"/>
        <v>1230.5352806625567</v>
      </c>
      <c r="AN14" s="16">
        <f t="shared" si="14"/>
        <v>1216.7089915116142</v>
      </c>
      <c r="AO14" s="16">
        <f t="shared" si="14"/>
        <v>1198.1782833203281</v>
      </c>
      <c r="AP14" s="17">
        <f t="shared" si="7"/>
        <v>0</v>
      </c>
      <c r="AQ14" s="17">
        <f t="shared" si="8"/>
        <v>0</v>
      </c>
      <c r="AR14" s="17">
        <f t="shared" si="9"/>
        <v>2.538235617637838</v>
      </c>
      <c r="AS14" s="17">
        <f t="shared" si="15"/>
        <v>2.538235617637838</v>
      </c>
    </row>
    <row r="15" spans="1:49" s="13" customFormat="1" ht="13" x14ac:dyDescent="0.3">
      <c r="A15" s="20">
        <v>1</v>
      </c>
      <c r="B15" s="20">
        <v>2</v>
      </c>
      <c r="C15" s="20" t="s">
        <v>37</v>
      </c>
      <c r="D15" s="17">
        <f>Scenario!AN31</f>
        <v>0.44144644170812064</v>
      </c>
      <c r="E15" s="17">
        <f>Scenario!AO31</f>
        <v>1.0526969057977646</v>
      </c>
      <c r="F15" s="17">
        <f>Scenario!AP31</f>
        <v>1.9217946382451725</v>
      </c>
      <c r="G15" s="17">
        <f>Scenario!AQ31</f>
        <v>3.5084121661676253</v>
      </c>
      <c r="H15" s="17">
        <f>Scenario!AR31</f>
        <v>8.3663481741911028</v>
      </c>
      <c r="I15" s="17">
        <f>IF((D15+'Non travel METs'!C15)&gt;2.5,(D15+'Non travel METs'!C15),0.1)</f>
        <v>42.091446441708122</v>
      </c>
      <c r="J15" s="17">
        <f>IF((E15+'Non travel METs'!D15)&gt;2.5,(E15+'Non travel METs'!D15),0.1)</f>
        <v>44.102696905797764</v>
      </c>
      <c r="K15" s="17">
        <f>IF((F15+'Non travel METs'!E15)&gt;2.5,(F15+'Non travel METs'!E15),0.1)</f>
        <v>47.988461304911873</v>
      </c>
      <c r="L15" s="17">
        <f>IF((G15+'Non travel METs'!F15)&gt;2.5,(G15+'Non travel METs'!F15),0.1)</f>
        <v>44.508412166167624</v>
      </c>
      <c r="M15" s="17">
        <f>IF((H15+'Non travel METs'!G15)&gt;2.5,(H15+'Non travel METs'!G15),0.1)</f>
        <v>49.366348174191103</v>
      </c>
      <c r="N15" s="19">
        <f>'Phy activity RRs'!$K$4</f>
        <v>0.95590188686474464</v>
      </c>
      <c r="O15" s="15">
        <f>IF(('user page'!$R$36=0),$N15^(I15^0.25),IF(('user page'!$R$36=1),$N15^(I15^0.5),IF(('user page'!$R$36=2),$N15^(I15^0.375),IF(('user page'!$R$36=4),$N15^(I15),IF(('user page'!$R$36=3),$N15^(LN(1+I15)),"")))))</f>
        <v>0.74632103905800462</v>
      </c>
      <c r="P15" s="15">
        <f>IF(('user page'!$R$36=0),$N15^(J15^0.25),IF(('user page'!$R$36=1),$N15^(J15^0.5),IF(('user page'!$R$36=2),$N15^(J15^0.375),IF(('user page'!$R$36=4),$N15^(J15),IF(('user page'!$R$36=3),$N15^(LN(1+J15)),"")))))</f>
        <v>0.74118244094049335</v>
      </c>
      <c r="Q15" s="15">
        <f>IF(('user page'!$R$36=0),$N15^(K15^0.25),IF(('user page'!$R$36=1),$N15^(K15^0.5),IF(('user page'!$R$36=2),$N15^(K15^0.375),IF(('user page'!$R$36=4),$N15^(K15),IF(('user page'!$R$36=3),$N15^(LN(1+K15)),"")))))</f>
        <v>0.73167093595246635</v>
      </c>
      <c r="R15" s="15">
        <f>IF(('user page'!$R$36=0),$N15^(L15^0.25),IF(('user page'!$R$36=1),$N15^(L15^0.5),IF(('user page'!$R$36=2),$N15^(L15^0.375),IF(('user page'!$R$36=4),$N15^(L15),IF(('user page'!$R$36=3),$N15^(LN(1+L15)),"")))))</f>
        <v>0.7401643967499052</v>
      </c>
      <c r="S15" s="15">
        <f>IF(('user page'!$R$36=0),$N15^(M15^0.25),IF(('user page'!$R$36=1),$N15^(M15^0.5),IF(('user page'!$R$36=2),$N15^(M15^0.375),IF(('user page'!$R$36=4),$N15^(M15),IF(('user page'!$R$36=3),$N15^(LN(1+M15)),"")))))</f>
        <v>0.7284196410743633</v>
      </c>
      <c r="T15" s="18">
        <f t="shared" si="10"/>
        <v>1</v>
      </c>
      <c r="U15" s="18">
        <f t="shared" si="10"/>
        <v>0.993114761813499</v>
      </c>
      <c r="V15" s="18">
        <f t="shared" si="10"/>
        <v>0.98037023969734338</v>
      </c>
      <c r="W15" s="18">
        <f t="shared" si="10"/>
        <v>0.99175067834631825</v>
      </c>
      <c r="X15" s="18">
        <f t="shared" si="10"/>
        <v>0.97601381034864543</v>
      </c>
      <c r="Y15" s="204">
        <f t="shared" si="6"/>
        <v>-4.4532585991730045E-4</v>
      </c>
      <c r="Z15" s="269">
        <f t="shared" si="11"/>
        <v>1.0004453258599173</v>
      </c>
      <c r="AA15" s="17">
        <f>Z15*GBDNZ!$E134/($T15+$W15+$X15+U15+V15)</f>
        <v>0</v>
      </c>
      <c r="AB15" s="16">
        <f t="shared" si="12"/>
        <v>0</v>
      </c>
      <c r="AC15" s="16">
        <f t="shared" si="12"/>
        <v>0</v>
      </c>
      <c r="AD15" s="16">
        <f t="shared" si="12"/>
        <v>0</v>
      </c>
      <c r="AE15" s="16">
        <f t="shared" si="12"/>
        <v>0</v>
      </c>
      <c r="AF15" s="17">
        <f>Z15*GBDNZ!$F134/($T15+$W15+$X15+U15+V15)</f>
        <v>0</v>
      </c>
      <c r="AG15" s="16">
        <f t="shared" si="13"/>
        <v>0</v>
      </c>
      <c r="AH15" s="16">
        <f t="shared" si="13"/>
        <v>0</v>
      </c>
      <c r="AI15" s="16">
        <f t="shared" si="13"/>
        <v>0</v>
      </c>
      <c r="AJ15" s="16">
        <f t="shared" si="13"/>
        <v>0</v>
      </c>
      <c r="AK15" s="17">
        <f>Z15*GBDNZ!$G134/($T15+$W15+$X15+U15+V15)</f>
        <v>1254.3897715734395</v>
      </c>
      <c r="AL15" s="16">
        <f t="shared" si="14"/>
        <v>1245.7529992174457</v>
      </c>
      <c r="AM15" s="16">
        <f t="shared" si="14"/>
        <v>1229.7664010313488</v>
      </c>
      <c r="AN15" s="16">
        <f t="shared" si="14"/>
        <v>1244.0419068686417</v>
      </c>
      <c r="AO15" s="16">
        <f t="shared" si="14"/>
        <v>1224.3017406157596</v>
      </c>
      <c r="AP15" s="17">
        <f t="shared" si="7"/>
        <v>0</v>
      </c>
      <c r="AQ15" s="17">
        <f t="shared" si="8"/>
        <v>0</v>
      </c>
      <c r="AR15" s="17">
        <f t="shared" si="9"/>
        <v>2.7590136066348805</v>
      </c>
      <c r="AS15" s="17">
        <f t="shared" si="15"/>
        <v>2.7590136066348805</v>
      </c>
    </row>
    <row r="16" spans="1:49" s="13" customFormat="1" ht="13" x14ac:dyDescent="0.3">
      <c r="A16" s="20">
        <v>1</v>
      </c>
      <c r="B16" s="20">
        <v>2</v>
      </c>
      <c r="C16" s="20" t="s">
        <v>36</v>
      </c>
      <c r="D16" s="17">
        <f>Scenario!AN32</f>
        <v>0.3316861829647314</v>
      </c>
      <c r="E16" s="17">
        <f>Scenario!AO32</f>
        <v>0.79095669488646103</v>
      </c>
      <c r="F16" s="17">
        <f>Scenario!AP32</f>
        <v>1.4439639054177522</v>
      </c>
      <c r="G16" s="17">
        <f>Scenario!AQ32</f>
        <v>2.6360883897045526</v>
      </c>
      <c r="H16" s="17">
        <f>Scenario!AR32</f>
        <v>6.2861580229616978</v>
      </c>
      <c r="I16" s="17">
        <f>IF((D16+'Non travel METs'!C16)&gt;2.5,(D16+'Non travel METs'!C16),0.1)</f>
        <v>33.131686182964728</v>
      </c>
      <c r="J16" s="17">
        <f>IF((E16+'Non travel METs'!D16)&gt;2.5,(E16+'Non travel METs'!D16),0.1)</f>
        <v>18.790956694886461</v>
      </c>
      <c r="K16" s="17">
        <f>IF((F16+'Non travel METs'!E16)&gt;2.5,(F16+'Non travel METs'!E16),0.1)</f>
        <v>33.193963905417753</v>
      </c>
      <c r="L16" s="17">
        <f>IF((G16+'Non travel METs'!F16)&gt;2.5,(G16+'Non travel METs'!F16),0.1)</f>
        <v>23.136088389704554</v>
      </c>
      <c r="M16" s="17">
        <f>IF((H16+'Non travel METs'!G16)&gt;2.5,(H16+'Non travel METs'!G16),0.1)</f>
        <v>10.786158022961697</v>
      </c>
      <c r="N16" s="19">
        <f>'Phy activity RRs'!$K$4</f>
        <v>0.95590188686474464</v>
      </c>
      <c r="O16" s="15">
        <f>IF(('user page'!$R$36=0),$N16^(I16^0.25),IF(('user page'!$R$36=1),$N16^(I16^0.5),IF(('user page'!$R$36=2),$N16^(I16^0.375),IF(('user page'!$R$36=4),$N16^(I16),IF(('user page'!$R$36=3),$N16^(LN(1+I16)),"")))))</f>
        <v>0.7713630082798042</v>
      </c>
      <c r="P16" s="15">
        <f>IF(('user page'!$R$36=0),$N16^(J16^0.25),IF(('user page'!$R$36=1),$N16^(J16^0.5),IF(('user page'!$R$36=2),$N16^(J16^0.375),IF(('user page'!$R$36=4),$N16^(J16),IF(('user page'!$R$36=3),$N16^(LN(1+J16)),"")))))</f>
        <v>0.8224217790191638</v>
      </c>
      <c r="Q16" s="15">
        <f>IF(('user page'!$R$36=0),$N16^(K16^0.25),IF(('user page'!$R$36=1),$N16^(K16^0.5),IF(('user page'!$R$36=2),$N16^(K16^0.375),IF(('user page'!$R$36=4),$N16^(K16),IF(('user page'!$R$36=3),$N16^(LN(1+K16)),"")))))</f>
        <v>0.77117492100684948</v>
      </c>
      <c r="R16" s="15">
        <f>IF(('user page'!$R$36=0),$N16^(L16^0.25),IF(('user page'!$R$36=1),$N16^(L16^0.5),IF(('user page'!$R$36=2),$N16^(L16^0.375),IF(('user page'!$R$36=4),$N16^(L16),IF(('user page'!$R$36=3),$N16^(LN(1+L16)),"")))))</f>
        <v>0.80498555520507775</v>
      </c>
      <c r="S16" s="15">
        <f>IF(('user page'!$R$36=0),$N16^(M16^0.25),IF(('user page'!$R$36=1),$N16^(M16^0.5),IF(('user page'!$R$36=2),$N16^(M16^0.375),IF(('user page'!$R$36=4),$N16^(M16),IF(('user page'!$R$36=3),$N16^(LN(1+M16)),"")))))</f>
        <v>0.86232873882778216</v>
      </c>
      <c r="T16" s="18">
        <f t="shared" si="10"/>
        <v>1</v>
      </c>
      <c r="U16" s="18">
        <f t="shared" si="10"/>
        <v>1.0661929210907124</v>
      </c>
      <c r="V16" s="18">
        <f t="shared" si="10"/>
        <v>0.99975616244111298</v>
      </c>
      <c r="W16" s="18">
        <f t="shared" si="10"/>
        <v>1.0435884876048882</v>
      </c>
      <c r="X16" s="18">
        <f t="shared" si="10"/>
        <v>1.1179285622612862</v>
      </c>
      <c r="Y16" s="204">
        <f t="shared" si="6"/>
        <v>-9.5969988342803347E-4</v>
      </c>
      <c r="Z16" s="269">
        <f t="shared" si="11"/>
        <v>1.000959699883428</v>
      </c>
      <c r="AA16" s="17">
        <f>Z16*GBDNZ!$E135/($T16+$W16+$X16+U16+V16)</f>
        <v>0</v>
      </c>
      <c r="AB16" s="16">
        <f t="shared" si="12"/>
        <v>0</v>
      </c>
      <c r="AC16" s="16">
        <f t="shared" si="12"/>
        <v>0</v>
      </c>
      <c r="AD16" s="16">
        <f t="shared" si="12"/>
        <v>0</v>
      </c>
      <c r="AE16" s="16">
        <f t="shared" si="12"/>
        <v>0</v>
      </c>
      <c r="AF16" s="17">
        <f>Z16*GBDNZ!$F135/($T16+$W16+$X16+U16+V16)</f>
        <v>0</v>
      </c>
      <c r="AG16" s="16">
        <f t="shared" si="13"/>
        <v>0</v>
      </c>
      <c r="AH16" s="16">
        <f t="shared" si="13"/>
        <v>0</v>
      </c>
      <c r="AI16" s="16">
        <f t="shared" si="13"/>
        <v>0</v>
      </c>
      <c r="AJ16" s="16">
        <f t="shared" si="13"/>
        <v>0</v>
      </c>
      <c r="AK16" s="17">
        <f>Z16*GBDNZ!$G135/($T16+$W16+$X16+U16+V16)</f>
        <v>574.76240991209488</v>
      </c>
      <c r="AL16" s="16">
        <f t="shared" si="14"/>
        <v>612.8076127573139</v>
      </c>
      <c r="AM16" s="16">
        <f t="shared" si="14"/>
        <v>574.62226124912195</v>
      </c>
      <c r="AN16" s="16">
        <f t="shared" si="14"/>
        <v>599.81543409230392</v>
      </c>
      <c r="AO16" s="16">
        <f t="shared" si="14"/>
        <v>642.54331455486033</v>
      </c>
      <c r="AP16" s="17">
        <f t="shared" si="7"/>
        <v>0</v>
      </c>
      <c r="AQ16" s="17">
        <f t="shared" si="8"/>
        <v>0</v>
      </c>
      <c r="AR16" s="17">
        <f t="shared" si="9"/>
        <v>2.880702665695253</v>
      </c>
      <c r="AS16" s="17">
        <f t="shared" si="15"/>
        <v>2.880702665695253</v>
      </c>
    </row>
    <row r="17" spans="1:45" s="13" customFormat="1" ht="13" x14ac:dyDescent="0.3">
      <c r="A17" s="20">
        <v>1</v>
      </c>
      <c r="B17" s="20">
        <v>2</v>
      </c>
      <c r="C17" s="20" t="s">
        <v>35</v>
      </c>
      <c r="D17" s="17">
        <f>Scenario!AN33</f>
        <v>0.28952396631326538</v>
      </c>
      <c r="E17" s="17">
        <f>Scenario!AO33</f>
        <v>0.69041440749405425</v>
      </c>
      <c r="F17" s="17">
        <f>Scenario!AP33</f>
        <v>1.2604147491853572</v>
      </c>
      <c r="G17" s="17">
        <f>Scenario!AQ33</f>
        <v>2.3010025902127014</v>
      </c>
      <c r="H17" s="17">
        <f>Scenario!AR33</f>
        <v>5.4870944198279963</v>
      </c>
      <c r="I17" s="17">
        <f>IF((D17+'Non travel METs'!C17)&gt;2.5,(D17+'Non travel METs'!C17),0.1)</f>
        <v>6.1228572996465953</v>
      </c>
      <c r="J17" s="17">
        <f>IF((E17+'Non travel METs'!D17)&gt;2.5,(E17+'Non travel METs'!D17),0.1)</f>
        <v>5.6904144074940541</v>
      </c>
      <c r="K17" s="17">
        <f>IF((F17+'Non travel METs'!E17)&gt;2.5,(F17+'Non travel METs'!E17),0.1)</f>
        <v>3.7604147491853572</v>
      </c>
      <c r="L17" s="17">
        <f>IF((G17+'Non travel METs'!F17)&gt;2.5,(G17+'Non travel METs'!F17),0.1)</f>
        <v>6.0510025902127014</v>
      </c>
      <c r="M17" s="17">
        <f>IF((H17+'Non travel METs'!G17)&gt;2.5,(H17+'Non travel METs'!G17),0.1)</f>
        <v>5.4870944198279963</v>
      </c>
      <c r="N17" s="19">
        <f>'Phy activity RRs'!$K$4</f>
        <v>0.95590188686474464</v>
      </c>
      <c r="O17" s="15">
        <f>IF(('user page'!$R$36=0),$N17^(I17^0.25),IF(('user page'!$R$36=1),$N17^(I17^0.5),IF(('user page'!$R$36=2),$N17^(I17^0.375),IF(('user page'!$R$36=4),$N17^(I17),IF(('user page'!$R$36=3),$N17^(LN(1+I17)),"")))))</f>
        <v>0.89440437922188665</v>
      </c>
      <c r="P17" s="15">
        <f>IF(('user page'!$R$36=0),$N17^(J17^0.25),IF(('user page'!$R$36=1),$N17^(J17^0.5),IF(('user page'!$R$36=2),$N17^(J17^0.375),IF(('user page'!$R$36=4),$N17^(J17),IF(('user page'!$R$36=3),$N17^(LN(1+J17)),"")))))</f>
        <v>0.89800090876234206</v>
      </c>
      <c r="Q17" s="15">
        <f>IF(('user page'!$R$36=0),$N17^(K17^0.25),IF(('user page'!$R$36=1),$N17^(K17^0.5),IF(('user page'!$R$36=2),$N17^(K17^0.375),IF(('user page'!$R$36=4),$N17^(K17),IF(('user page'!$R$36=3),$N17^(LN(1+K17)),"")))))</f>
        <v>0.91625829947987636</v>
      </c>
      <c r="R17" s="15">
        <f>IF(('user page'!$R$36=0),$N17^(L17^0.25),IF(('user page'!$R$36=1),$N17^(L17^0.5),IF(('user page'!$R$36=2),$N17^(L17^0.375),IF(('user page'!$R$36=4),$N17^(L17),IF(('user page'!$R$36=3),$N17^(LN(1+L17)),"")))))</f>
        <v>0.89499197823939747</v>
      </c>
      <c r="S17" s="15">
        <f>IF(('user page'!$R$36=0),$N17^(M17^0.25),IF(('user page'!$R$36=1),$N17^(M17^0.5),IF(('user page'!$R$36=2),$N17^(M17^0.375),IF(('user page'!$R$36=4),$N17^(M17),IF(('user page'!$R$36=3),$N17^(LN(1+M17)),"")))))</f>
        <v>0.89974426071003966</v>
      </c>
      <c r="T17" s="18">
        <f t="shared" si="10"/>
        <v>1</v>
      </c>
      <c r="U17" s="18">
        <f t="shared" si="10"/>
        <v>1.0040211448244298</v>
      </c>
      <c r="V17" s="18">
        <f t="shared" si="10"/>
        <v>1.0244340488102286</v>
      </c>
      <c r="W17" s="18">
        <f t="shared" si="10"/>
        <v>1.0006569724289833</v>
      </c>
      <c r="X17" s="18">
        <f t="shared" si="10"/>
        <v>1.0059703212687741</v>
      </c>
      <c r="Y17" s="204">
        <f t="shared" si="6"/>
        <v>-1.2213391922692995E-3</v>
      </c>
      <c r="Z17" s="269">
        <f t="shared" si="11"/>
        <v>1.0012213391922693</v>
      </c>
      <c r="AA17" s="17">
        <f>Z17*GBDNZ!$E136/($T17+$W17+$X17+U17+V17)</f>
        <v>0</v>
      </c>
      <c r="AB17" s="16">
        <f t="shared" si="12"/>
        <v>0</v>
      </c>
      <c r="AC17" s="16">
        <f t="shared" si="12"/>
        <v>0</v>
      </c>
      <c r="AD17" s="16">
        <f t="shared" si="12"/>
        <v>0</v>
      </c>
      <c r="AE17" s="16">
        <f t="shared" si="12"/>
        <v>0</v>
      </c>
      <c r="AF17" s="17">
        <f>Z17*GBDNZ!$F136/($T17+$W17+$X17+U17+V17)</f>
        <v>0</v>
      </c>
      <c r="AG17" s="16">
        <f t="shared" si="13"/>
        <v>0</v>
      </c>
      <c r="AH17" s="16">
        <f t="shared" si="13"/>
        <v>0</v>
      </c>
      <c r="AI17" s="16">
        <f t="shared" si="13"/>
        <v>0</v>
      </c>
      <c r="AJ17" s="16">
        <f t="shared" si="13"/>
        <v>0</v>
      </c>
      <c r="AK17" s="17">
        <f>Z17*GBDNZ!$G136/($T17+$W17+$X17+U17+V17)</f>
        <v>307.91257520778817</v>
      </c>
      <c r="AL17" s="16">
        <f t="shared" si="14"/>
        <v>309.15073626596183</v>
      </c>
      <c r="AM17" s="16">
        <f t="shared" si="14"/>
        <v>315.43612609969847</v>
      </c>
      <c r="AN17" s="16">
        <f t="shared" si="14"/>
        <v>308.11486528023693</v>
      </c>
      <c r="AO17" s="16">
        <f t="shared" si="14"/>
        <v>309.75091220447422</v>
      </c>
      <c r="AP17" s="17">
        <f t="shared" si="7"/>
        <v>0</v>
      </c>
      <c r="AQ17" s="17">
        <f t="shared" si="8"/>
        <v>0</v>
      </c>
      <c r="AR17" s="17">
        <f t="shared" si="9"/>
        <v>1.8912119881593981</v>
      </c>
      <c r="AS17" s="17">
        <f t="shared" si="15"/>
        <v>1.8912119881593981</v>
      </c>
    </row>
    <row r="18" spans="1:45" s="13" customFormat="1" ht="13" x14ac:dyDescent="0.3">
      <c r="A18" s="20">
        <v>1</v>
      </c>
      <c r="B18" s="20">
        <v>2</v>
      </c>
      <c r="C18" s="20" t="s">
        <v>34</v>
      </c>
      <c r="D18" s="17">
        <f>Scenario!AN34</f>
        <v>0.16944759244251412</v>
      </c>
      <c r="E18" s="17">
        <f>Scenario!AO34</f>
        <v>0.40407383411883097</v>
      </c>
      <c r="F18" s="17">
        <f>Scenario!AP34</f>
        <v>0.73767380106076064</v>
      </c>
      <c r="G18" s="17">
        <f>Scenario!AQ34</f>
        <v>1.346691101536166</v>
      </c>
      <c r="H18" s="17">
        <f>Scenario!AR34</f>
        <v>3.211391964486249</v>
      </c>
      <c r="I18" s="17">
        <f>IF((D18+'Non travel METs'!C18)&gt;2.5,(D18+'Non travel METs'!C18),0.1)</f>
        <v>6.6694475924425145</v>
      </c>
      <c r="J18" s="17">
        <f>IF((E18+'Non travel METs'!D18)&gt;2.5,(E18+'Non travel METs'!D18),0.1)</f>
        <v>3.5290738341188308</v>
      </c>
      <c r="K18" s="17">
        <f>IF((F18+'Non travel METs'!E18)&gt;2.5,(F18+'Non travel METs'!E18),0.1)</f>
        <v>0.1</v>
      </c>
      <c r="L18" s="17">
        <f>IF((G18+'Non travel METs'!F18)&gt;2.5,(G18+'Non travel METs'!F18),0.1)</f>
        <v>0.1</v>
      </c>
      <c r="M18" s="17">
        <f>IF((H18+'Non travel METs'!G18)&gt;2.5,(H18+'Non travel METs'!G18),0.1)</f>
        <v>3.211391964486249</v>
      </c>
      <c r="N18" s="19">
        <f>'Phy activity RRs'!$K$4</f>
        <v>0.95590188686474464</v>
      </c>
      <c r="O18" s="15">
        <f>IF(('user page'!$R$36=0),$N18^(I18^0.25),IF(('user page'!$R$36=1),$N18^(I18^0.5),IF(('user page'!$R$36=2),$N18^(I18^0.375),IF(('user page'!$R$36=4),$N18^(I18),IF(('user page'!$R$36=3),$N18^(LN(1+I18)),"")))))</f>
        <v>0.89005503225401028</v>
      </c>
      <c r="P18" s="15">
        <f>IF(('user page'!$R$36=0),$N18^(J18^0.25),IF(('user page'!$R$36=1),$N18^(J18^0.5),IF(('user page'!$R$36=2),$N18^(J18^0.375),IF(('user page'!$R$36=4),$N18^(J18),IF(('user page'!$R$36=3),$N18^(LN(1+J18)),"")))))</f>
        <v>0.91876574585735238</v>
      </c>
      <c r="Q18" s="15">
        <f>IF(('user page'!$R$36=0),$N18^(K18^0.25),IF(('user page'!$R$36=1),$N18^(K18^0.5),IF(('user page'!$R$36=2),$N18^(K18^0.375),IF(('user page'!$R$36=4),$N18^(K18),IF(('user page'!$R$36=3),$N18^(LN(1+K18)),"")))))</f>
        <v>0.985839346491721</v>
      </c>
      <c r="R18" s="15">
        <f>IF(('user page'!$R$36=0),$N18^(L18^0.25),IF(('user page'!$R$36=1),$N18^(L18^0.5),IF(('user page'!$R$36=2),$N18^(L18^0.375),IF(('user page'!$R$36=4),$N18^(L18),IF(('user page'!$R$36=3),$N18^(LN(1+L18)),"")))))</f>
        <v>0.985839346491721</v>
      </c>
      <c r="S18" s="15">
        <f>IF(('user page'!$R$36=0),$N18^(M18^0.25),IF(('user page'!$R$36=1),$N18^(M18^0.5),IF(('user page'!$R$36=2),$N18^(M18^0.375),IF(('user page'!$R$36=4),$N18^(M18),IF(('user page'!$R$36=3),$N18^(LN(1+M18)),"")))))</f>
        <v>0.92235895390661216</v>
      </c>
      <c r="T18" s="18">
        <f t="shared" si="10"/>
        <v>1</v>
      </c>
      <c r="U18" s="18">
        <f t="shared" si="10"/>
        <v>1.0322572341741993</v>
      </c>
      <c r="V18" s="18">
        <f t="shared" si="10"/>
        <v>1.1076161706486203</v>
      </c>
      <c r="W18" s="18">
        <f t="shared" si="10"/>
        <v>1.1076161706486203</v>
      </c>
      <c r="X18" s="18">
        <f t="shared" si="10"/>
        <v>1.0362942969613846</v>
      </c>
      <c r="Y18" s="204">
        <f t="shared" si="6"/>
        <v>-6.4100403038147569E-4</v>
      </c>
      <c r="Z18" s="269">
        <f t="shared" si="11"/>
        <v>1.0006410040303815</v>
      </c>
      <c r="AA18" s="17">
        <f>Z18*GBDNZ!$E137/($T18+$W18+$X18+U18+V18)</f>
        <v>0</v>
      </c>
      <c r="AB18" s="16">
        <f t="shared" si="12"/>
        <v>0</v>
      </c>
      <c r="AC18" s="16">
        <f t="shared" si="12"/>
        <v>0</v>
      </c>
      <c r="AD18" s="16">
        <f t="shared" si="12"/>
        <v>0</v>
      </c>
      <c r="AE18" s="16">
        <f t="shared" si="12"/>
        <v>0</v>
      </c>
      <c r="AF18" s="17">
        <f>Z18*GBDNZ!$F137/($T18+$W18+$X18+U18+V18)</f>
        <v>0</v>
      </c>
      <c r="AG18" s="16">
        <f t="shared" si="13"/>
        <v>0</v>
      </c>
      <c r="AH18" s="16">
        <f t="shared" si="13"/>
        <v>0</v>
      </c>
      <c r="AI18" s="16">
        <f t="shared" si="13"/>
        <v>0</v>
      </c>
      <c r="AJ18" s="16">
        <f t="shared" si="13"/>
        <v>0</v>
      </c>
      <c r="AK18" s="17">
        <f>Z18*GBDNZ!$G137/($T18+$W18+$X18+U18+V18)</f>
        <v>186.8737703666167</v>
      </c>
      <c r="AL18" s="16">
        <f t="shared" si="14"/>
        <v>192.90180133834821</v>
      </c>
      <c r="AM18" s="16">
        <f t="shared" si="14"/>
        <v>206.98440992814159</v>
      </c>
      <c r="AN18" s="16">
        <f t="shared" si="14"/>
        <v>206.98440992814159</v>
      </c>
      <c r="AO18" s="16">
        <f t="shared" si="14"/>
        <v>193.65622248259629</v>
      </c>
      <c r="AP18" s="17">
        <f t="shared" si="7"/>
        <v>0</v>
      </c>
      <c r="AQ18" s="17">
        <f t="shared" si="8"/>
        <v>0</v>
      </c>
      <c r="AR18" s="17">
        <f t="shared" si="9"/>
        <v>0.63252232384419926</v>
      </c>
      <c r="AS18" s="17">
        <f t="shared" si="15"/>
        <v>0.63252232384419926</v>
      </c>
    </row>
    <row r="19" spans="1:45" s="13" customFormat="1" ht="13" x14ac:dyDescent="0.3">
      <c r="A19" s="20"/>
      <c r="B19" s="20"/>
      <c r="C19" s="20"/>
      <c r="D19" s="17"/>
      <c r="E19" s="16"/>
      <c r="F19" s="17"/>
      <c r="G19" s="16"/>
      <c r="H19" s="17"/>
      <c r="I19" s="17">
        <f>IF((D19+'Non travel METs'!C19)&gt;2.5,(D19+'Non travel METs'!C19),0.1)</f>
        <v>0.1</v>
      </c>
      <c r="J19" s="17">
        <f>IF((E19+'Non travel METs'!D19)&gt;2.5,(E19+'Non travel METs'!D19),0.1)</f>
        <v>0.1</v>
      </c>
      <c r="K19" s="17">
        <f>IF((F19+'Non travel METs'!E19)&gt;2.5,(F19+'Non travel METs'!E19),0.1)</f>
        <v>0.1</v>
      </c>
      <c r="L19" s="17">
        <f>IF((G19+'Non travel METs'!F19)&gt;2.5,(G19+'Non travel METs'!F19),0.1)</f>
        <v>0.1</v>
      </c>
      <c r="M19" s="17">
        <f>IF((H19+'Non travel METs'!G19)&gt;2.5,(H19+'Non travel METs'!G19),0.1)</f>
        <v>0.1</v>
      </c>
      <c r="N19" s="15"/>
      <c r="O19" s="15"/>
      <c r="P19" s="15"/>
      <c r="Q19" s="15"/>
      <c r="R19" s="15"/>
      <c r="S19" s="15"/>
      <c r="T19" s="18"/>
      <c r="U19" s="18"/>
      <c r="V19" s="18"/>
      <c r="W19" s="18"/>
      <c r="X19" s="18"/>
      <c r="Y19" s="18"/>
      <c r="Z19" s="16"/>
      <c r="AA19" s="17"/>
      <c r="AB19" s="16"/>
      <c r="AC19" s="16"/>
      <c r="AD19" s="16"/>
      <c r="AE19" s="16"/>
      <c r="AF19" s="17"/>
      <c r="AG19" s="16"/>
      <c r="AH19" s="16"/>
      <c r="AI19" s="16"/>
      <c r="AJ19" s="16"/>
      <c r="AK19" s="17"/>
      <c r="AL19" s="16"/>
      <c r="AM19" s="16"/>
      <c r="AN19" s="16"/>
      <c r="AO19" s="16"/>
      <c r="AP19" s="21">
        <f>SUM(AP3:AP18)</f>
        <v>0</v>
      </c>
      <c r="AQ19" s="21">
        <f>SUM(AQ3:AQ18)</f>
        <v>0</v>
      </c>
      <c r="AR19" s="21">
        <f>SUM(AR3:AR18)</f>
        <v>16.988143583681236</v>
      </c>
      <c r="AS19" s="21">
        <f>SUM(AS3:AS18)</f>
        <v>16.988143583681236</v>
      </c>
    </row>
    <row r="20" spans="1:45" s="13" customFormat="1" ht="13" x14ac:dyDescent="0.3">
      <c r="A20" s="20">
        <v>0</v>
      </c>
      <c r="B20" s="20">
        <v>1</v>
      </c>
      <c r="C20" s="20" t="s">
        <v>2</v>
      </c>
      <c r="D20" s="17"/>
      <c r="E20" s="17"/>
      <c r="F20" s="17"/>
      <c r="G20" s="17"/>
      <c r="H20" s="17"/>
      <c r="I20" s="17">
        <f>IF((D20+'Non travel METs'!C20)&gt;2.5,(D20+'Non travel METs'!C20),0.1)</f>
        <v>0.1</v>
      </c>
      <c r="J20" s="17">
        <f>IF((E20+'Non travel METs'!D20)&gt;2.5,(E20+'Non travel METs'!D20),0.1)</f>
        <v>0.1</v>
      </c>
      <c r="K20" s="17">
        <f>IF((F20+'Non travel METs'!E20)&gt;2.5,(F20+'Non travel METs'!E20),0.1)</f>
        <v>0.1</v>
      </c>
      <c r="L20" s="17">
        <f>IF((G20+'Non travel METs'!F20)&gt;2.5,(G20+'Non travel METs'!F20),0.1)</f>
        <v>0.1</v>
      </c>
      <c r="M20" s="17">
        <f>IF((H20+'Non travel METs'!G20)&gt;2.5,(H20+'Non travel METs'!G20),0.1)</f>
        <v>0.1</v>
      </c>
      <c r="N20" s="15"/>
      <c r="O20" s="15"/>
      <c r="P20" s="15"/>
      <c r="Q20" s="15"/>
      <c r="R20" s="15"/>
      <c r="S20" s="15"/>
      <c r="T20" s="18"/>
      <c r="U20" s="18"/>
      <c r="V20" s="18"/>
      <c r="W20" s="18"/>
      <c r="X20" s="18"/>
      <c r="Y20" s="18"/>
      <c r="Z20" s="16"/>
      <c r="AA20" s="17"/>
      <c r="AB20" s="16"/>
      <c r="AC20" s="16"/>
      <c r="AD20" s="16"/>
      <c r="AE20" s="16"/>
      <c r="AF20" s="17"/>
      <c r="AG20" s="16"/>
      <c r="AH20" s="16"/>
      <c r="AI20" s="16"/>
      <c r="AJ20" s="16"/>
      <c r="AK20" s="17"/>
      <c r="AL20" s="16"/>
      <c r="AM20" s="16"/>
      <c r="AN20" s="16"/>
      <c r="AO20" s="16"/>
      <c r="AP20" s="32">
        <f>AP19/GBDNZ!E138</f>
        <v>0</v>
      </c>
      <c r="AQ20" s="32">
        <f>AQ19/GBDNZ!F138</f>
        <v>0</v>
      </c>
      <c r="AR20" s="32">
        <f>AR19/GBDNZ!G138</f>
        <v>4.2350777396155429E-4</v>
      </c>
      <c r="AS20" s="32">
        <f>AS19/GBDNZ!H138</f>
        <v>4.2350777396155429E-4</v>
      </c>
    </row>
    <row r="21" spans="1:45" s="13" customFormat="1" ht="13" x14ac:dyDescent="0.3">
      <c r="A21" s="20">
        <v>0</v>
      </c>
      <c r="B21" s="20">
        <v>1</v>
      </c>
      <c r="C21" s="20" t="s">
        <v>40</v>
      </c>
      <c r="D21" s="17"/>
      <c r="E21" s="17"/>
      <c r="F21" s="17"/>
      <c r="G21" s="17"/>
      <c r="H21" s="17"/>
      <c r="I21" s="17">
        <f>IF((D21+'Non travel METs'!C21)&gt;2.5,(D21+'Non travel METs'!C21),0.1)</f>
        <v>0.1</v>
      </c>
      <c r="J21" s="17">
        <f>IF((E21+'Non travel METs'!D21)&gt;2.5,(E21+'Non travel METs'!D21),0.1)</f>
        <v>0.1</v>
      </c>
      <c r="K21" s="17">
        <f>IF((F21+'Non travel METs'!E21)&gt;2.5,(F21+'Non travel METs'!E21),0.1)</f>
        <v>0.1</v>
      </c>
      <c r="L21" s="17">
        <f>IF((G21+'Non travel METs'!F21)&gt;2.5,(G21+'Non travel METs'!F21),0.1)</f>
        <v>0.1</v>
      </c>
      <c r="M21" s="17">
        <f>IF((H21+'Non travel METs'!G21)&gt;2.5,(H21+'Non travel METs'!G21),0.1)</f>
        <v>0.1</v>
      </c>
      <c r="N21" s="15"/>
      <c r="O21" s="15"/>
      <c r="P21" s="15"/>
      <c r="Q21" s="15"/>
      <c r="R21" s="15"/>
      <c r="S21" s="15"/>
      <c r="T21" s="18"/>
      <c r="U21" s="18"/>
      <c r="V21" s="18"/>
      <c r="W21" s="18"/>
      <c r="X21" s="18"/>
      <c r="Y21" s="18"/>
      <c r="Z21" s="16"/>
      <c r="AA21" s="17"/>
      <c r="AB21" s="16"/>
      <c r="AC21" s="16"/>
      <c r="AD21" s="16"/>
      <c r="AE21" s="16"/>
      <c r="AF21" s="17"/>
      <c r="AG21" s="16"/>
      <c r="AH21" s="16"/>
      <c r="AI21" s="16"/>
      <c r="AJ21" s="16"/>
      <c r="AK21" s="17"/>
      <c r="AL21" s="16"/>
      <c r="AM21" s="16"/>
      <c r="AN21" s="16"/>
      <c r="AO21" s="16"/>
      <c r="AP21" s="15"/>
      <c r="AQ21" s="15"/>
      <c r="AR21" s="15"/>
      <c r="AS21" s="15"/>
    </row>
    <row r="22" spans="1:45" s="13" customFormat="1" ht="13" x14ac:dyDescent="0.3">
      <c r="A22" s="20">
        <v>0</v>
      </c>
      <c r="B22" s="20">
        <v>1</v>
      </c>
      <c r="C22" s="20" t="s">
        <v>39</v>
      </c>
      <c r="D22" s="17">
        <f>Baseline!AN21</f>
        <v>0.39368586167290764</v>
      </c>
      <c r="E22" s="17">
        <f>Baseline!AO21</f>
        <v>0.93738511466315355</v>
      </c>
      <c r="F22" s="17">
        <f>Baseline!AP21</f>
        <v>1.7094900770477317</v>
      </c>
      <c r="G22" s="17">
        <f>Baseline!AQ21</f>
        <v>3.117562118078649</v>
      </c>
      <c r="H22" s="17">
        <f>Baseline!AR21</f>
        <v>7.4230664802300845</v>
      </c>
      <c r="I22" s="17">
        <f>IF((D22+'Non travel METs'!C22)&gt;2.5,(D22+'Non travel METs'!C22),0.1)</f>
        <v>58.193685861672904</v>
      </c>
      <c r="J22" s="17">
        <f>IF((E22+'Non travel METs'!D22)&gt;2.5,(E22+'Non travel METs'!D22),0.1)</f>
        <v>41.937385114663151</v>
      </c>
      <c r="K22" s="17">
        <f>IF((F22+'Non travel METs'!E22)&gt;2.5,(F22+'Non travel METs'!E22),0.1)</f>
        <v>47.209490077047732</v>
      </c>
      <c r="L22" s="17">
        <f>IF((G22+'Non travel METs'!F22)&gt;2.5,(G22+'Non travel METs'!F22),0.1)</f>
        <v>41.042562118078649</v>
      </c>
      <c r="M22" s="17">
        <f>IF((H22+'Non travel METs'!G22)&gt;2.5,(H22+'Non travel METs'!G22),0.1)</f>
        <v>48.423066480230084</v>
      </c>
      <c r="N22" s="19">
        <f t="shared" ref="N22:N27" si="16">N5</f>
        <v>0.97795094343237232</v>
      </c>
      <c r="O22" s="15">
        <f>IF(('user page'!$R$36=0),$N22^(I22^0.25),IF(('user page'!$R$36=1),$N22^(I22^0.5),IF(('user page'!$R$36=2),$N22^(I22^0.375),IF(('user page'!$R$36=4),$N22^(I22),IF(('user page'!$R$36=3),$N22^(LN(1+I22)),"")))))</f>
        <v>0.84359495836580956</v>
      </c>
      <c r="P22" s="15">
        <f>IF(('user page'!$R$36=0),$N22^(J22^0.25),IF(('user page'!$R$36=1),$N22^(J22^0.5),IF(('user page'!$R$36=2),$N22^(J22^0.375),IF(('user page'!$R$36=4),$N22^(J22),IF(('user page'!$R$36=3),$N22^(LN(1+J22)),"")))))</f>
        <v>0.86555413521988389</v>
      </c>
      <c r="Q22" s="15">
        <f>IF(('user page'!$R$36=0),$N22^(K22^0.25),IF(('user page'!$R$36=1),$N22^(K22^0.5),IF(('user page'!$R$36=2),$N22^(K22^0.375),IF(('user page'!$R$36=4),$N22^(K22),IF(('user page'!$R$36=3),$N22^(LN(1+K22)),"")))))</f>
        <v>0.85796465896049257</v>
      </c>
      <c r="R22" s="15">
        <f>IF(('user page'!$R$36=0),$N22^(L22^0.25),IF(('user page'!$R$36=1),$N22^(L22^0.5),IF(('user page'!$R$36=2),$N22^(L22^0.375),IF(('user page'!$R$36=4),$N22^(L22),IF(('user page'!$R$36=3),$N22^(LN(1+L22)),"")))))</f>
        <v>0.86689564835347288</v>
      </c>
      <c r="S22" s="15">
        <f>IF(('user page'!$R$36=0),$N22^(M22^0.25),IF(('user page'!$R$36=1),$N22^(M22^0.5),IF(('user page'!$R$36=2),$N22^(M22^0.375),IF(('user page'!$R$36=4),$N22^(M22),IF(('user page'!$R$36=3),$N22^(LN(1+M22)),"")))))</f>
        <v>0.85628768976297442</v>
      </c>
      <c r="T22" s="18">
        <f t="shared" ref="T22:X27" si="17">O22/$O22</f>
        <v>1</v>
      </c>
      <c r="U22" s="18">
        <f t="shared" si="17"/>
        <v>1.0260304742652957</v>
      </c>
      <c r="V22" s="18">
        <f t="shared" si="17"/>
        <v>1.0170338862888888</v>
      </c>
      <c r="W22" s="18">
        <f t="shared" si="17"/>
        <v>1.0276207079672464</v>
      </c>
      <c r="X22" s="18">
        <f t="shared" si="17"/>
        <v>1.0150460019601739</v>
      </c>
      <c r="Y22" s="18"/>
      <c r="Z22" s="16"/>
      <c r="AA22" s="17">
        <f>GBDNZ!E124/($T22+$W22+$X22+U22+V22)</f>
        <v>0</v>
      </c>
      <c r="AB22" s="16">
        <f t="shared" ref="AB22:AE27" si="18">$AA22*U22</f>
        <v>0</v>
      </c>
      <c r="AC22" s="16">
        <f t="shared" si="18"/>
        <v>0</v>
      </c>
      <c r="AD22" s="16">
        <f t="shared" si="18"/>
        <v>0</v>
      </c>
      <c r="AE22" s="16">
        <f t="shared" si="18"/>
        <v>0</v>
      </c>
      <c r="AF22" s="17">
        <f>GBDNZ!F124/($T22+$W22+$X22+U22+V22)</f>
        <v>0</v>
      </c>
      <c r="AG22" s="16">
        <f t="shared" ref="AG22:AJ27" si="19">$AF22*U22</f>
        <v>0</v>
      </c>
      <c r="AH22" s="16">
        <f t="shared" si="19"/>
        <v>0</v>
      </c>
      <c r="AI22" s="16">
        <f t="shared" si="19"/>
        <v>0</v>
      </c>
      <c r="AJ22" s="16">
        <f t="shared" si="19"/>
        <v>0</v>
      </c>
      <c r="AK22" s="17">
        <f>GBDNZ!G124/($T22+$W22+$X22+U22+V22)</f>
        <v>715.91546626062768</v>
      </c>
      <c r="AL22" s="16">
        <f t="shared" ref="AL22:AO27" si="20">$AK22*U22</f>
        <v>734.55108538125216</v>
      </c>
      <c r="AM22" s="16">
        <f t="shared" si="20"/>
        <v>728.11028890536807</v>
      </c>
      <c r="AN22" s="16">
        <f t="shared" si="20"/>
        <v>735.68955828344747</v>
      </c>
      <c r="AO22" s="16">
        <f t="shared" si="20"/>
        <v>726.68713176930396</v>
      </c>
      <c r="AP22" s="15"/>
      <c r="AQ22" s="15"/>
      <c r="AR22" s="15"/>
      <c r="AS22" s="15"/>
    </row>
    <row r="23" spans="1:45" s="13" customFormat="1" ht="13" x14ac:dyDescent="0.3">
      <c r="A23" s="20">
        <v>0</v>
      </c>
      <c r="B23" s="20">
        <v>1</v>
      </c>
      <c r="C23" s="20" t="s">
        <v>38</v>
      </c>
      <c r="D23" s="17">
        <f>Baseline!AN22</f>
        <v>0.25162211131265011</v>
      </c>
      <c r="E23" s="17">
        <f>Baseline!AO22</f>
        <v>0.59912444064491777</v>
      </c>
      <c r="F23" s="17">
        <f>Baseline!AP22</f>
        <v>1.092610998594</v>
      </c>
      <c r="G23" s="17">
        <f>Baseline!AQ22</f>
        <v>1.9925723493495484</v>
      </c>
      <c r="H23" s="17">
        <f>Baseline!AR22</f>
        <v>4.7444113238730328</v>
      </c>
      <c r="I23" s="17">
        <f>IF((D23+'Non travel METs'!C23)&gt;2.5,(D23+'Non travel METs'!C23),0.1)</f>
        <v>51.501622111312649</v>
      </c>
      <c r="J23" s="17">
        <f>IF((E23+'Non travel METs'!D23)&gt;2.5,(E23+'Non travel METs'!D23),0.1)</f>
        <v>51.849124440644921</v>
      </c>
      <c r="K23" s="17">
        <f>IF((F23+'Non travel METs'!E23)&gt;2.5,(F23+'Non travel METs'!E23),0.1)</f>
        <v>65.842610998593997</v>
      </c>
      <c r="L23" s="17">
        <f>IF((G23+'Non travel METs'!F23)&gt;2.5,(G23+'Non travel METs'!F23),0.1)</f>
        <v>48.117572349349551</v>
      </c>
      <c r="M23" s="17">
        <f>IF((H23+'Non travel METs'!G23)&gt;2.5,(H23+'Non travel METs'!G23),0.1)</f>
        <v>49.544411323873028</v>
      </c>
      <c r="N23" s="19">
        <f t="shared" si="16"/>
        <v>0.95590188686474464</v>
      </c>
      <c r="O23" s="15">
        <f>IF(('user page'!$R$36=0),$N23^(I23^0.25),IF(('user page'!$R$36=1),$N23^(I23^0.5),IF(('user page'!$R$36=2),$N23^(I23^0.375),IF(('user page'!$R$36=4),$N23^(I23),IF(('user page'!$R$36=3),$N23^(LN(1+I23)),"")))))</f>
        <v>0.72349728595169105</v>
      </c>
      <c r="P23" s="15">
        <f>IF(('user page'!$R$36=0),$N23^(J23^0.25),IF(('user page'!$R$36=1),$N23^(J23^0.5),IF(('user page'!$R$36=2),$N23^(J23^0.375),IF(('user page'!$R$36=4),$N23^(J23),IF(('user page'!$R$36=3),$N23^(LN(1+J23)),"")))))</f>
        <v>0.7227090372099767</v>
      </c>
      <c r="Q23" s="15">
        <f>IF(('user page'!$R$36=0),$N23^(K23^0.25),IF(('user page'!$R$36=1),$N23^(K23^0.5),IF(('user page'!$R$36=2),$N23^(K23^0.375),IF(('user page'!$R$36=4),$N23^(K23),IF(('user page'!$R$36=3),$N23^(LN(1+K23)),"")))))</f>
        <v>0.69353261929869137</v>
      </c>
      <c r="R23" s="15">
        <f>IF(('user page'!$R$36=0),$N23^(L23^0.25),IF(('user page'!$R$36=1),$N23^(L23^0.5),IF(('user page'!$R$36=2),$N23^(L23^0.375),IF(('user page'!$R$36=4),$N23^(L23),IF(('user page'!$R$36=3),$N23^(LN(1+L23)),"")))))</f>
        <v>0.73136369838739879</v>
      </c>
      <c r="S23" s="15">
        <f>IF(('user page'!$R$36=0),$N23^(M23^0.25),IF(('user page'!$R$36=1),$N23^(M23^0.5),IF(('user page'!$R$36=2),$N23^(M23^0.375),IF(('user page'!$R$36=4),$N23^(M23),IF(('user page'!$R$36=3),$N23^(LN(1+M23)),"")))))</f>
        <v>0.72800385334199258</v>
      </c>
      <c r="T23" s="18">
        <f t="shared" si="17"/>
        <v>1</v>
      </c>
      <c r="U23" s="18">
        <f t="shared" si="17"/>
        <v>0.99891050214420984</v>
      </c>
      <c r="V23" s="18">
        <f t="shared" si="17"/>
        <v>0.95858358112071695</v>
      </c>
      <c r="W23" s="18">
        <f t="shared" si="17"/>
        <v>1.0108727601173517</v>
      </c>
      <c r="X23" s="18">
        <f t="shared" si="17"/>
        <v>1.0062288656471925</v>
      </c>
      <c r="Y23" s="18"/>
      <c r="Z23" s="16"/>
      <c r="AA23" s="17">
        <f>GBDNZ!E125/($T23+$W23+$X23+U23+V23)</f>
        <v>0</v>
      </c>
      <c r="AB23" s="16">
        <f t="shared" si="18"/>
        <v>0</v>
      </c>
      <c r="AC23" s="16">
        <f t="shared" si="18"/>
        <v>0</v>
      </c>
      <c r="AD23" s="16">
        <f t="shared" si="18"/>
        <v>0</v>
      </c>
      <c r="AE23" s="16">
        <f t="shared" si="18"/>
        <v>0</v>
      </c>
      <c r="AF23" s="17">
        <f>GBDNZ!F125/($T23+$W23+$X23+U23+V23)</f>
        <v>0</v>
      </c>
      <c r="AG23" s="16">
        <f t="shared" si="19"/>
        <v>0</v>
      </c>
      <c r="AH23" s="16">
        <f t="shared" si="19"/>
        <v>0</v>
      </c>
      <c r="AI23" s="16">
        <f t="shared" si="19"/>
        <v>0</v>
      </c>
      <c r="AJ23" s="16">
        <f t="shared" si="19"/>
        <v>0</v>
      </c>
      <c r="AK23" s="17">
        <f>GBDNZ!G125/($T23+$W23+$X23+U23+V23)</f>
        <v>712.46298754828172</v>
      </c>
      <c r="AL23" s="16">
        <f t="shared" si="20"/>
        <v>711.68676065101806</v>
      </c>
      <c r="AM23" s="16">
        <f t="shared" si="20"/>
        <v>682.95532201999663</v>
      </c>
      <c r="AN23" s="16">
        <f t="shared" si="20"/>
        <v>720.20942670438592</v>
      </c>
      <c r="AO23" s="16">
        <f t="shared" si="20"/>
        <v>716.90082377631734</v>
      </c>
      <c r="AP23" s="15"/>
      <c r="AQ23" s="15"/>
      <c r="AR23" s="15"/>
      <c r="AS23" s="15"/>
    </row>
    <row r="24" spans="1:45" s="13" customFormat="1" ht="13" x14ac:dyDescent="0.3">
      <c r="A24" s="20">
        <v>0</v>
      </c>
      <c r="B24" s="20">
        <v>1</v>
      </c>
      <c r="C24" s="20" t="s">
        <v>37</v>
      </c>
      <c r="D24" s="17">
        <f>Baseline!AN23</f>
        <v>0.44656832716641398</v>
      </c>
      <c r="E24" s="17">
        <f>Baseline!AO23</f>
        <v>1.0633008276878868</v>
      </c>
      <c r="F24" s="17">
        <f>Baseline!AP23</f>
        <v>1.9391199896557647</v>
      </c>
      <c r="G24" s="17">
        <f>Baseline!AQ23</f>
        <v>3.5363334969455225</v>
      </c>
      <c r="H24" s="17">
        <f>Baseline!AR23</f>
        <v>8.4201814269764306</v>
      </c>
      <c r="I24" s="17">
        <f>IF((D24+'Non travel METs'!C24)&gt;2.5,(D24+'Non travel METs'!C24),0.1)</f>
        <v>58.721568327166409</v>
      </c>
      <c r="J24" s="17">
        <f>IF((E24+'Non travel METs'!D24)&gt;2.5,(E24+'Non travel METs'!D24),0.1)</f>
        <v>62.56330082768789</v>
      </c>
      <c r="K24" s="17">
        <f>IF((F24+'Non travel METs'!E24)&gt;2.5,(F24+'Non travel METs'!E24),0.1)</f>
        <v>55.664119989655767</v>
      </c>
      <c r="L24" s="17">
        <f>IF((G24+'Non travel METs'!F24)&gt;2.5,(G24+'Non travel METs'!F24),0.1)</f>
        <v>55.736333496945527</v>
      </c>
      <c r="M24" s="17">
        <f>IF((H24+'Non travel METs'!G24)&gt;2.5,(H24+'Non travel METs'!G24),0.1)</f>
        <v>55.12018142697643</v>
      </c>
      <c r="N24" s="19">
        <f t="shared" si="16"/>
        <v>0.95590188686474464</v>
      </c>
      <c r="O24" s="15">
        <f>IF(('user page'!$R$36=0),$N24^(I24^0.25),IF(('user page'!$R$36=1),$N24^(I24^0.5),IF(('user page'!$R$36=2),$N24^(I24^0.375),IF(('user page'!$R$36=4),$N24^(I24),IF(('user page'!$R$36=3),$N24^(LN(1+I24)),"")))))</f>
        <v>0.70779462997767706</v>
      </c>
      <c r="P24" s="15">
        <f>IF(('user page'!$R$36=0),$N24^(J24^0.25),IF(('user page'!$R$36=1),$N24^(J24^0.5),IF(('user page'!$R$36=2),$N24^(J24^0.375),IF(('user page'!$R$36=4),$N24^(J24),IF(('user page'!$R$36=3),$N24^(LN(1+J24)),"")))))</f>
        <v>0.69996333901017027</v>
      </c>
      <c r="Q24" s="15">
        <f>IF(('user page'!$R$36=0),$N24^(K24^0.25),IF(('user page'!$R$36=1),$N24^(K24^0.5),IF(('user page'!$R$36=2),$N24^(K24^0.375),IF(('user page'!$R$36=4),$N24^(K24),IF(('user page'!$R$36=3),$N24^(LN(1+K24)),"")))))</f>
        <v>0.71427742395700544</v>
      </c>
      <c r="R24" s="15">
        <f>IF(('user page'!$R$36=0),$N24^(L24^0.25),IF(('user page'!$R$36=1),$N24^(L24^0.5),IF(('user page'!$R$36=2),$N24^(L24^0.375),IF(('user page'!$R$36=4),$N24^(L24),IF(('user page'!$R$36=3),$N24^(LN(1+L24)),"")))))</f>
        <v>0.71412159216283921</v>
      </c>
      <c r="S24" s="15">
        <f>IF(('user page'!$R$36=0),$N24^(M24^0.25),IF(('user page'!$R$36=1),$N24^(M24^0.5),IF(('user page'!$R$36=2),$N24^(M24^0.375),IF(('user page'!$R$36=4),$N24^(M24),IF(('user page'!$R$36=3),$N24^(LN(1+M24)),"")))))</f>
        <v>0.71545556811839139</v>
      </c>
      <c r="T24" s="18">
        <f t="shared" si="17"/>
        <v>1</v>
      </c>
      <c r="U24" s="18">
        <f t="shared" si="17"/>
        <v>0.98893564512102361</v>
      </c>
      <c r="V24" s="18">
        <f t="shared" si="17"/>
        <v>1.0091591454706754</v>
      </c>
      <c r="W24" s="18">
        <f t="shared" si="17"/>
        <v>1.0089389802030029</v>
      </c>
      <c r="X24" s="18">
        <f t="shared" si="17"/>
        <v>1.0108236737271601</v>
      </c>
      <c r="Y24" s="18"/>
      <c r="Z24" s="16"/>
      <c r="AA24" s="17">
        <f>GBDNZ!E126/($T24+$W24+$X24+U24+V24)</f>
        <v>0</v>
      </c>
      <c r="AB24" s="16">
        <f t="shared" si="18"/>
        <v>0</v>
      </c>
      <c r="AC24" s="16">
        <f t="shared" si="18"/>
        <v>0</v>
      </c>
      <c r="AD24" s="16">
        <f t="shared" si="18"/>
        <v>0</v>
      </c>
      <c r="AE24" s="16">
        <f t="shared" si="18"/>
        <v>0</v>
      </c>
      <c r="AF24" s="17">
        <f>GBDNZ!F126/($T24+$W24+$X24+U24+V24)</f>
        <v>0</v>
      </c>
      <c r="AG24" s="16">
        <f t="shared" si="19"/>
        <v>0</v>
      </c>
      <c r="AH24" s="16">
        <f t="shared" si="19"/>
        <v>0</v>
      </c>
      <c r="AI24" s="16">
        <f t="shared" si="19"/>
        <v>0</v>
      </c>
      <c r="AJ24" s="16">
        <f t="shared" si="19"/>
        <v>0</v>
      </c>
      <c r="AK24" s="17">
        <f>GBDNZ!G126/($T24+$W24+$X24+U24+V24)</f>
        <v>756.03691464803853</v>
      </c>
      <c r="AL24" s="16">
        <f t="shared" si="20"/>
        <v>747.67185392276622</v>
      </c>
      <c r="AM24" s="16">
        <f t="shared" si="20"/>
        <v>762.96156673050052</v>
      </c>
      <c r="AN24" s="16">
        <f t="shared" si="20"/>
        <v>762.7951136608167</v>
      </c>
      <c r="AO24" s="16">
        <f t="shared" si="20"/>
        <v>764.22001153787767</v>
      </c>
      <c r="AP24" s="15"/>
      <c r="AQ24" s="15"/>
      <c r="AR24" s="15"/>
      <c r="AS24" s="15"/>
    </row>
    <row r="25" spans="1:45" s="13" customFormat="1" ht="13" x14ac:dyDescent="0.3">
      <c r="A25" s="20">
        <v>0</v>
      </c>
      <c r="B25" s="20">
        <v>1</v>
      </c>
      <c r="C25" s="20" t="s">
        <v>36</v>
      </c>
      <c r="D25" s="17">
        <f>Baseline!AN24</f>
        <v>0.42413880257562148</v>
      </c>
      <c r="E25" s="17">
        <f>Baseline!AO24</f>
        <v>1.009895042702271</v>
      </c>
      <c r="F25" s="17">
        <f>Baseline!AP24</f>
        <v>1.8417249509873066</v>
      </c>
      <c r="G25" s="17">
        <f>Baseline!AQ24</f>
        <v>3.3587161553076208</v>
      </c>
      <c r="H25" s="17">
        <f>Baseline!AR24</f>
        <v>7.99726592919881</v>
      </c>
      <c r="I25" s="17">
        <f>IF((D25+'Non travel METs'!C25)&gt;2.5,(D25+'Non travel METs'!C25),0.1)</f>
        <v>41.424138802575619</v>
      </c>
      <c r="J25" s="17">
        <f>IF((E25+'Non travel METs'!D25)&gt;2.5,(E25+'Non travel METs'!D25),0.1)</f>
        <v>32.259895042702269</v>
      </c>
      <c r="K25" s="17">
        <f>IF((F25+'Non travel METs'!E25)&gt;2.5,(F25+'Non travel METs'!E25),0.1)</f>
        <v>45.925058284320606</v>
      </c>
      <c r="L25" s="17">
        <f>IF((G25+'Non travel METs'!F25)&gt;2.5,(G25+'Non travel METs'!F25),0.1)</f>
        <v>45.858716155307619</v>
      </c>
      <c r="M25" s="17">
        <f>IF((H25+'Non travel METs'!G25)&gt;2.5,(H25+'Non travel METs'!G25),0.1)</f>
        <v>40.797265929198808</v>
      </c>
      <c r="N25" s="19">
        <f t="shared" si="16"/>
        <v>0.95590188686474464</v>
      </c>
      <c r="O25" s="15">
        <f>IF(('user page'!$R$36=0),$N25^(I25^0.25),IF(('user page'!$R$36=1),$N25^(I25^0.5),IF(('user page'!$R$36=2),$N25^(I25^0.375),IF(('user page'!$R$36=4),$N25^(I25),IF(('user page'!$R$36=3),$N25^(LN(1+I25)),"")))))</f>
        <v>0.74806099715151431</v>
      </c>
      <c r="P25" s="15">
        <f>IF(('user page'!$R$36=0),$N25^(J25^0.25),IF(('user page'!$R$36=1),$N25^(J25^0.5),IF(('user page'!$R$36=2),$N25^(J25^0.375),IF(('user page'!$R$36=4),$N25^(J25),IF(('user page'!$R$36=3),$N25^(LN(1+J25)),"")))))</f>
        <v>0.77401962149107095</v>
      </c>
      <c r="Q25" s="15">
        <f>IF(('user page'!$R$36=0),$N25^(K25^0.25),IF(('user page'!$R$36=1),$N25^(K25^0.5),IF(('user page'!$R$36=2),$N25^(K25^0.375),IF(('user page'!$R$36=4),$N25^(K25),IF(('user page'!$R$36=3),$N25^(LN(1+K25)),"")))))</f>
        <v>0.73665632385811552</v>
      </c>
      <c r="R25" s="15">
        <f>IF(('user page'!$R$36=0),$N25^(L25^0.25),IF(('user page'!$R$36=1),$N25^(L25^0.5),IF(('user page'!$R$36=2),$N25^(L25^0.375),IF(('user page'!$R$36=4),$N25^(L25),IF(('user page'!$R$36=3),$N25^(LN(1+L25)),"")))))</f>
        <v>0.73681902136436406</v>
      </c>
      <c r="S25" s="15">
        <f>IF(('user page'!$R$36=0),$N25^(M25^0.25),IF(('user page'!$R$36=1),$N25^(M25^0.5),IF(('user page'!$R$36=2),$N25^(M25^0.375),IF(('user page'!$R$36=4),$N25^(M25),IF(('user page'!$R$36=3),$N25^(LN(1+M25)),"")))))</f>
        <v>0.74971207510117499</v>
      </c>
      <c r="T25" s="18">
        <f t="shared" si="17"/>
        <v>1</v>
      </c>
      <c r="U25" s="18">
        <f t="shared" si="17"/>
        <v>1.0347012134550559</v>
      </c>
      <c r="V25" s="18">
        <f t="shared" si="17"/>
        <v>0.98475435380694121</v>
      </c>
      <c r="W25" s="18">
        <f t="shared" si="17"/>
        <v>0.9849718461061896</v>
      </c>
      <c r="X25" s="18">
        <f t="shared" si="17"/>
        <v>1.0022071434761974</v>
      </c>
      <c r="Y25" s="18"/>
      <c r="Z25" s="16"/>
      <c r="AA25" s="17">
        <f>GBDNZ!E127/($T25+$W25+$X25+U25+V25)</f>
        <v>0</v>
      </c>
      <c r="AB25" s="16">
        <f t="shared" si="18"/>
        <v>0</v>
      </c>
      <c r="AC25" s="16">
        <f t="shared" si="18"/>
        <v>0</v>
      </c>
      <c r="AD25" s="16">
        <f t="shared" si="18"/>
        <v>0</v>
      </c>
      <c r="AE25" s="16">
        <f t="shared" si="18"/>
        <v>0</v>
      </c>
      <c r="AF25" s="17">
        <f>GBDNZ!F127/($T25+$W25+$X25+U25+V25)</f>
        <v>0</v>
      </c>
      <c r="AG25" s="16">
        <f t="shared" si="19"/>
        <v>0</v>
      </c>
      <c r="AH25" s="16">
        <f t="shared" si="19"/>
        <v>0</v>
      </c>
      <c r="AI25" s="16">
        <f t="shared" si="19"/>
        <v>0</v>
      </c>
      <c r="AJ25" s="16">
        <f t="shared" si="19"/>
        <v>0</v>
      </c>
      <c r="AK25" s="17">
        <f>GBDNZ!G127/($T25+$W25+$X25+U25+V25)</f>
        <v>368.21808002738567</v>
      </c>
      <c r="AL25" s="16">
        <f t="shared" si="20"/>
        <v>380.99569422042686</v>
      </c>
      <c r="AM25" s="16">
        <f t="shared" si="20"/>
        <v>362.60435745740074</v>
      </c>
      <c r="AN25" s="16">
        <f t="shared" si="20"/>
        <v>362.68444205425072</v>
      </c>
      <c r="AO25" s="16">
        <f t="shared" si="20"/>
        <v>369.03079016053607</v>
      </c>
      <c r="AP25" s="15"/>
      <c r="AQ25" s="15"/>
      <c r="AR25" s="15"/>
      <c r="AS25" s="15"/>
    </row>
    <row r="26" spans="1:45" s="13" customFormat="1" ht="13" x14ac:dyDescent="0.3">
      <c r="A26" s="20">
        <v>0</v>
      </c>
      <c r="B26" s="20">
        <v>1</v>
      </c>
      <c r="C26" s="20" t="s">
        <v>35</v>
      </c>
      <c r="D26" s="17">
        <f>Baseline!AN25</f>
        <v>0.51496682448345821</v>
      </c>
      <c r="E26" s="17">
        <f>Baseline!AO25</f>
        <v>1.2261609643914881</v>
      </c>
      <c r="F26" s="17">
        <f>Baseline!AP25</f>
        <v>2.2361246927243523</v>
      </c>
      <c r="G26" s="17">
        <f>Baseline!AQ25</f>
        <v>4.0779749042924998</v>
      </c>
      <c r="H26" s="17">
        <f>Baseline!AR25</f>
        <v>9.7098558658164578</v>
      </c>
      <c r="I26" s="17">
        <f>IF((D26+'Non travel METs'!C26)&gt;2.5,(D26+'Non travel METs'!C26),0.1)</f>
        <v>4.8899668244834587</v>
      </c>
      <c r="J26" s="17">
        <f>IF((E26+'Non travel METs'!D26)&gt;2.5,(E26+'Non travel METs'!D26),0.1)</f>
        <v>6.2261609643914877</v>
      </c>
      <c r="K26" s="17">
        <f>IF((F26+'Non travel METs'!E26)&gt;2.5,(F26+'Non travel METs'!E26),0.1)</f>
        <v>10.569458026057683</v>
      </c>
      <c r="L26" s="17">
        <f>IF((G26+'Non travel METs'!F26)&gt;2.5,(G26+'Non travel METs'!F26),0.1)</f>
        <v>7.8279749042924998</v>
      </c>
      <c r="M26" s="17">
        <f>IF((H26+'Non travel METs'!G26)&gt;2.5,(H26+'Non travel METs'!G26),0.1)</f>
        <v>22.834855865816458</v>
      </c>
      <c r="N26" s="19">
        <f t="shared" si="16"/>
        <v>0.95590188686474464</v>
      </c>
      <c r="O26" s="15">
        <f>IF(('user page'!$R$36=0),$N26^(I26^0.25),IF(('user page'!$R$36=1),$N26^(I26^0.5),IF(('user page'!$R$36=2),$N26^(I26^0.375),IF(('user page'!$R$36=4),$N26^(I26),IF(('user page'!$R$36=3),$N26^(LN(1+I26)),"")))))</f>
        <v>0.90508099243711215</v>
      </c>
      <c r="P26" s="15">
        <f>IF(('user page'!$R$36=0),$N26^(J26^0.25),IF(('user page'!$R$36=1),$N26^(J26^0.5),IF(('user page'!$R$36=2),$N26^(J26^0.375),IF(('user page'!$R$36=4),$N26^(J26),IF(('user page'!$R$36=3),$N26^(LN(1+J26)),"")))))</f>
        <v>0.89356628042826192</v>
      </c>
      <c r="Q26" s="15">
        <f>IF(('user page'!$R$36=0),$N26^(K26^0.25),IF(('user page'!$R$36=1),$N26^(K26^0.5),IF(('user page'!$R$36=2),$N26^(K26^0.375),IF(('user page'!$R$36=4),$N26^(K26),IF(('user page'!$R$36=3),$N26^(LN(1+K26)),"")))))</f>
        <v>0.86361926738434525</v>
      </c>
      <c r="R26" s="15">
        <f>IF(('user page'!$R$36=0),$N26^(L26^0.25),IF(('user page'!$R$36=1),$N26^(L26^0.5),IF(('user page'!$R$36=2),$N26^(L26^0.375),IF(('user page'!$R$36=4),$N26^(L26),IF(('user page'!$R$36=3),$N26^(LN(1+L26)),"")))))</f>
        <v>0.88145342213193079</v>
      </c>
      <c r="S26" s="15">
        <f>IF(('user page'!$R$36=0),$N26^(M26^0.25),IF(('user page'!$R$36=1),$N26^(M26^0.5),IF(('user page'!$R$36=2),$N26^(M26^0.375),IF(('user page'!$R$36=4),$N26^(M26),IF(('user page'!$R$36=3),$N26^(LN(1+M26)),"")))))</f>
        <v>0.80612690775202045</v>
      </c>
      <c r="T26" s="18">
        <f t="shared" si="17"/>
        <v>1</v>
      </c>
      <c r="U26" s="18">
        <f t="shared" si="17"/>
        <v>0.98727769989087433</v>
      </c>
      <c r="V26" s="18">
        <f t="shared" si="17"/>
        <v>0.95419003890345444</v>
      </c>
      <c r="W26" s="18">
        <f t="shared" si="17"/>
        <v>0.97389452380216335</v>
      </c>
      <c r="X26" s="18">
        <f t="shared" si="17"/>
        <v>0.89066825454080301</v>
      </c>
      <c r="Y26" s="18"/>
      <c r="Z26" s="16"/>
      <c r="AA26" s="17">
        <f>GBDNZ!E128/($T26+$W26+$X26+U26+V26)</f>
        <v>0</v>
      </c>
      <c r="AB26" s="16">
        <f t="shared" si="18"/>
        <v>0</v>
      </c>
      <c r="AC26" s="16">
        <f t="shared" si="18"/>
        <v>0</v>
      </c>
      <c r="AD26" s="16">
        <f t="shared" si="18"/>
        <v>0</v>
      </c>
      <c r="AE26" s="16">
        <f t="shared" si="18"/>
        <v>0</v>
      </c>
      <c r="AF26" s="17">
        <f>GBDNZ!F128/($T26+$W26+$X26+U26+V26)</f>
        <v>0</v>
      </c>
      <c r="AG26" s="16">
        <f t="shared" si="19"/>
        <v>0</v>
      </c>
      <c r="AH26" s="16">
        <f t="shared" si="19"/>
        <v>0</v>
      </c>
      <c r="AI26" s="16">
        <f t="shared" si="19"/>
        <v>0</v>
      </c>
      <c r="AJ26" s="16">
        <f t="shared" si="19"/>
        <v>0</v>
      </c>
      <c r="AK26" s="17">
        <f>GBDNZ!G128/($T26+$W26+$X26+U26+V26)</f>
        <v>181.8923933801203</v>
      </c>
      <c r="AL26" s="16">
        <f t="shared" si="20"/>
        <v>179.57830376397126</v>
      </c>
      <c r="AM26" s="16">
        <f t="shared" si="20"/>
        <v>173.55990991561941</v>
      </c>
      <c r="AN26" s="16">
        <f t="shared" si="20"/>
        <v>177.14400583416801</v>
      </c>
      <c r="AO26" s="16">
        <f t="shared" si="20"/>
        <v>162.00578052612084</v>
      </c>
      <c r="AP26" s="15"/>
      <c r="AQ26" s="15"/>
      <c r="AR26" s="15"/>
      <c r="AS26" s="15"/>
    </row>
    <row r="27" spans="1:45" s="13" customFormat="1" ht="13" x14ac:dyDescent="0.3">
      <c r="A27" s="20">
        <v>0</v>
      </c>
      <c r="B27" s="20">
        <v>1</v>
      </c>
      <c r="C27" s="20" t="s">
        <v>34</v>
      </c>
      <c r="D27" s="17">
        <f>Baseline!AN26</f>
        <v>0.25245260283815635</v>
      </c>
      <c r="E27" s="17">
        <f>Baseline!AO26</f>
        <v>0.60110188121277408</v>
      </c>
      <c r="F27" s="17">
        <f>Baseline!AP26</f>
        <v>1.096217216546284</v>
      </c>
      <c r="G27" s="17">
        <f>Baseline!AQ26</f>
        <v>1.9991489353318384</v>
      </c>
      <c r="H27" s="17">
        <f>Baseline!AR26</f>
        <v>4.7600704937982714</v>
      </c>
      <c r="I27" s="17">
        <f>IF((D27+'Non travel METs'!C27)&gt;2.5,(D27+'Non travel METs'!C27),0.1)</f>
        <v>0.1</v>
      </c>
      <c r="J27" s="17">
        <f>IF((E27+'Non travel METs'!D27)&gt;2.5,(E27+'Non travel METs'!D27),0.1)</f>
        <v>10.601101881212774</v>
      </c>
      <c r="K27" s="17">
        <f>IF((F27+'Non travel METs'!E27)&gt;2.5,(F27+'Non travel METs'!E27),0.1)</f>
        <v>4.8462172165462842</v>
      </c>
      <c r="L27" s="17">
        <f>IF((G27+'Non travel METs'!F27)&gt;2.5,(G27+'Non travel METs'!F27),0.1)</f>
        <v>7.2074822686651689</v>
      </c>
      <c r="M27" s="17">
        <f>IF((H27+'Non travel METs'!G27)&gt;2.5,(H27+'Non travel METs'!G27),0.1)</f>
        <v>4.7600704937982714</v>
      </c>
      <c r="N27" s="19">
        <f t="shared" si="16"/>
        <v>0.95590188686474464</v>
      </c>
      <c r="O27" s="15">
        <f>IF(('user page'!$R$36=0),$N27^(I27^0.25),IF(('user page'!$R$36=1),$N27^(I27^0.5),IF(('user page'!$R$36=2),$N27^(I27^0.375),IF(('user page'!$R$36=4),$N27^(I27),IF(('user page'!$R$36=3),$N27^(LN(1+I27)),"")))))</f>
        <v>0.985839346491721</v>
      </c>
      <c r="P27" s="15">
        <f>IF(('user page'!$R$36=0),$N27^(J27^0.25),IF(('user page'!$R$36=1),$N27^(J27^0.5),IF(('user page'!$R$36=2),$N27^(J27^0.375),IF(('user page'!$R$36=4),$N27^(J27),IF(('user page'!$R$36=3),$N27^(LN(1+J27)),"")))))</f>
        <v>0.86342987627866796</v>
      </c>
      <c r="Q27" s="15">
        <f>IF(('user page'!$R$36=0),$N27^(K27^0.25),IF(('user page'!$R$36=1),$N27^(K27^0.5),IF(('user page'!$R$36=2),$N27^(K27^0.375),IF(('user page'!$R$36=4),$N27^(K27),IF(('user page'!$R$36=3),$N27^(LN(1+K27)),"")))))</f>
        <v>0.90548577981447398</v>
      </c>
      <c r="R27" s="15">
        <f>IF(('user page'!$R$36=0),$N27^(L27^0.25),IF(('user page'!$R$36=1),$N27^(L27^0.5),IF(('user page'!$R$36=2),$N27^(L27^0.375),IF(('user page'!$R$36=4),$N27^(L27),IF(('user page'!$R$36=3),$N27^(LN(1+L27)),"")))))</f>
        <v>0.88596408725712983</v>
      </c>
      <c r="S27" s="15">
        <f>IF(('user page'!$R$36=0),$N27^(M27^0.25),IF(('user page'!$R$36=1),$N27^(M27^0.5),IF(('user page'!$R$36=2),$N27^(M27^0.375),IF(('user page'!$R$36=4),$N27^(M27),IF(('user page'!$R$36=3),$N27^(LN(1+M27)),"")))))</f>
        <v>0.90628875292485944</v>
      </c>
      <c r="T27" s="18">
        <f t="shared" si="17"/>
        <v>1</v>
      </c>
      <c r="U27" s="18">
        <f t="shared" si="17"/>
        <v>0.87583223306244751</v>
      </c>
      <c r="V27" s="18">
        <f t="shared" si="17"/>
        <v>0.91849223003403235</v>
      </c>
      <c r="W27" s="18">
        <f t="shared" si="17"/>
        <v>0.89869012675339599</v>
      </c>
      <c r="X27" s="18">
        <f t="shared" si="17"/>
        <v>0.91930673709671251</v>
      </c>
      <c r="Y27" s="18"/>
      <c r="Z27" s="16"/>
      <c r="AA27" s="17">
        <f>GBDNZ!E129/($T27+$W27+$X27+U27+V27)</f>
        <v>0</v>
      </c>
      <c r="AB27" s="16">
        <f t="shared" si="18"/>
        <v>0</v>
      </c>
      <c r="AC27" s="16">
        <f t="shared" si="18"/>
        <v>0</v>
      </c>
      <c r="AD27" s="16">
        <f t="shared" si="18"/>
        <v>0</v>
      </c>
      <c r="AE27" s="16">
        <f t="shared" si="18"/>
        <v>0</v>
      </c>
      <c r="AF27" s="17">
        <f>GBDNZ!F129/($T27+$W27+$X27+U27+V27)</f>
        <v>0</v>
      </c>
      <c r="AG27" s="16">
        <f t="shared" si="19"/>
        <v>0</v>
      </c>
      <c r="AH27" s="16">
        <f t="shared" si="19"/>
        <v>0</v>
      </c>
      <c r="AI27" s="16">
        <f t="shared" si="19"/>
        <v>0</v>
      </c>
      <c r="AJ27" s="16">
        <f t="shared" si="19"/>
        <v>0</v>
      </c>
      <c r="AK27" s="17">
        <f>GBDNZ!G129/($T27+$W27+$X27+U27+V27)</f>
        <v>91.734065247813476</v>
      </c>
      <c r="AL27" s="16">
        <f t="shared" si="20"/>
        <v>80.343651213888734</v>
      </c>
      <c r="AM27" s="16">
        <f t="shared" si="20"/>
        <v>84.257026159551629</v>
      </c>
      <c r="AN27" s="16">
        <f t="shared" si="20"/>
        <v>82.440498725161788</v>
      </c>
      <c r="AO27" s="16">
        <f t="shared" si="20"/>
        <v>84.331744203584336</v>
      </c>
      <c r="AP27" s="15"/>
      <c r="AQ27" s="15"/>
      <c r="AR27" s="15"/>
      <c r="AS27" s="15"/>
    </row>
    <row r="28" spans="1:45" s="13" customFormat="1" ht="13" x14ac:dyDescent="0.3">
      <c r="A28" s="20">
        <v>0</v>
      </c>
      <c r="B28" s="20">
        <v>2</v>
      </c>
      <c r="C28" s="20" t="s">
        <v>2</v>
      </c>
      <c r="D28" s="17"/>
      <c r="E28" s="17"/>
      <c r="F28" s="17"/>
      <c r="G28" s="17"/>
      <c r="H28" s="17"/>
      <c r="I28" s="17">
        <f>IF((D28+'Non travel METs'!C28)&gt;2.5,(D28+'Non travel METs'!C28),0.1)</f>
        <v>0.1</v>
      </c>
      <c r="J28" s="17">
        <f>IF((E28+'Non travel METs'!D28)&gt;2.5,(E28+'Non travel METs'!D28),0.1)</f>
        <v>0.1</v>
      </c>
      <c r="K28" s="17">
        <f>IF((F28+'Non travel METs'!E28)&gt;2.5,(F28+'Non travel METs'!E28),0.1)</f>
        <v>0.1</v>
      </c>
      <c r="L28" s="17">
        <f>IF((G28+'Non travel METs'!F28)&gt;2.5,(G28+'Non travel METs'!F28),0.1)</f>
        <v>0.1</v>
      </c>
      <c r="M28" s="17">
        <f>IF((H28+'Non travel METs'!G28)&gt;2.5,(H28+'Non travel METs'!G28),0.1)</f>
        <v>0.1</v>
      </c>
      <c r="N28" s="19"/>
      <c r="O28" s="15"/>
      <c r="P28" s="15"/>
      <c r="Q28" s="15"/>
      <c r="R28" s="15"/>
      <c r="S28" s="15"/>
      <c r="T28" s="18"/>
      <c r="U28" s="18"/>
      <c r="V28" s="18"/>
      <c r="W28" s="18"/>
      <c r="X28" s="18"/>
      <c r="Y28" s="18"/>
      <c r="Z28" s="16"/>
      <c r="AA28" s="17"/>
      <c r="AB28" s="16"/>
      <c r="AC28" s="16"/>
      <c r="AD28" s="16"/>
      <c r="AE28" s="16"/>
      <c r="AF28" s="17"/>
      <c r="AG28" s="16"/>
      <c r="AH28" s="16"/>
      <c r="AI28" s="16"/>
      <c r="AJ28" s="16"/>
      <c r="AK28" s="17"/>
      <c r="AL28" s="16"/>
      <c r="AM28" s="16"/>
      <c r="AN28" s="16"/>
      <c r="AO28" s="16"/>
      <c r="AP28" s="15"/>
      <c r="AQ28" s="15"/>
      <c r="AR28" s="15"/>
      <c r="AS28" s="15"/>
    </row>
    <row r="29" spans="1:45" s="13" customFormat="1" ht="13" x14ac:dyDescent="0.3">
      <c r="A29" s="20">
        <v>0</v>
      </c>
      <c r="B29" s="20">
        <v>2</v>
      </c>
      <c r="C29" s="20" t="s">
        <v>40</v>
      </c>
      <c r="D29" s="17"/>
      <c r="E29" s="17"/>
      <c r="F29" s="17"/>
      <c r="G29" s="17"/>
      <c r="H29" s="17"/>
      <c r="I29" s="17">
        <f>IF((D29+'Non travel METs'!C29)&gt;2.5,(D29+'Non travel METs'!C29),0.1)</f>
        <v>0.1</v>
      </c>
      <c r="J29" s="17">
        <f>IF((E29+'Non travel METs'!D29)&gt;2.5,(E29+'Non travel METs'!D29),0.1)</f>
        <v>0.1</v>
      </c>
      <c r="K29" s="17">
        <f>IF((F29+'Non travel METs'!E29)&gt;2.5,(F29+'Non travel METs'!E29),0.1)</f>
        <v>0.1</v>
      </c>
      <c r="L29" s="17">
        <f>IF((G29+'Non travel METs'!F29)&gt;2.5,(G29+'Non travel METs'!F29),0.1)</f>
        <v>0.1</v>
      </c>
      <c r="M29" s="17">
        <f>IF((H29+'Non travel METs'!G29)&gt;2.5,(H29+'Non travel METs'!G29),0.1)</f>
        <v>0.1</v>
      </c>
      <c r="N29" s="19"/>
      <c r="O29" s="15"/>
      <c r="P29" s="15"/>
      <c r="Q29" s="15"/>
      <c r="R29" s="15"/>
      <c r="S29" s="15"/>
      <c r="T29" s="18"/>
      <c r="U29" s="18"/>
      <c r="V29" s="18"/>
      <c r="W29" s="18"/>
      <c r="X29" s="18"/>
      <c r="Y29" s="18"/>
      <c r="Z29" s="16"/>
      <c r="AA29" s="17"/>
      <c r="AB29" s="16"/>
      <c r="AC29" s="16"/>
      <c r="AD29" s="16"/>
      <c r="AE29" s="16"/>
      <c r="AF29" s="17"/>
      <c r="AG29" s="16"/>
      <c r="AH29" s="16"/>
      <c r="AI29" s="16"/>
      <c r="AJ29" s="16"/>
      <c r="AK29" s="17"/>
      <c r="AL29" s="16"/>
      <c r="AM29" s="16"/>
      <c r="AN29" s="16"/>
      <c r="AO29" s="16"/>
      <c r="AP29" s="15"/>
      <c r="AQ29" s="15"/>
      <c r="AR29" s="15"/>
      <c r="AS29" s="15"/>
    </row>
    <row r="30" spans="1:45" s="13" customFormat="1" ht="13" x14ac:dyDescent="0.3">
      <c r="A30" s="20">
        <v>0</v>
      </c>
      <c r="B30" s="20">
        <v>2</v>
      </c>
      <c r="C30" s="20" t="s">
        <v>39</v>
      </c>
      <c r="D30" s="17">
        <f>Baseline!AN29</f>
        <v>0.38786520725769708</v>
      </c>
      <c r="E30" s="17">
        <f>Baseline!AO29</f>
        <v>0.9235258544315782</v>
      </c>
      <c r="F30" s="17">
        <f>Baseline!AP29</f>
        <v>1.6842152273936337</v>
      </c>
      <c r="G30" s="17">
        <f>Baseline!AQ29</f>
        <v>3.0714688912856469</v>
      </c>
      <c r="H30" s="17">
        <f>Baseline!AR29</f>
        <v>7.3133162735578114</v>
      </c>
      <c r="I30" s="17">
        <f>IF((D30+'Non travel METs'!C30)&gt;2.5,(D30+'Non travel METs'!C30),0.1)</f>
        <v>9.2545318739243676</v>
      </c>
      <c r="J30" s="17">
        <f>IF((E30+'Non travel METs'!D30)&gt;2.5,(E30+'Non travel METs'!D30),0.1)</f>
        <v>25.523525854431579</v>
      </c>
      <c r="K30" s="17">
        <f>IF((F30+'Non travel METs'!E30)&gt;2.5,(F30+'Non travel METs'!E30),0.1)</f>
        <v>31.534215227393634</v>
      </c>
      <c r="L30" s="17">
        <f>IF((G30+'Non travel METs'!F30)&gt;2.5,(G30+'Non travel METs'!F30),0.1)</f>
        <v>33.471468891285646</v>
      </c>
      <c r="M30" s="17">
        <f>IF((H30+'Non travel METs'!G30)&gt;2.5,(H30+'Non travel METs'!G30),0.1)</f>
        <v>48.31331627355781</v>
      </c>
      <c r="N30" s="19">
        <f t="shared" ref="N30:N35" si="21">N13</f>
        <v>0.97795094343237232</v>
      </c>
      <c r="O30" s="15">
        <f>IF(('user page'!$R$36=0),$N30^(I30^0.25),IF(('user page'!$R$36=1),$N30^(I30^0.5),IF(('user page'!$R$36=2),$N30^(I30^0.375),IF(('user page'!$R$36=4),$N30^(I30),IF(('user page'!$R$36=3),$N30^(LN(1+I30)),"")))))</f>
        <v>0.93442253775222095</v>
      </c>
      <c r="P30" s="15">
        <f>IF(('user page'!$R$36=0),$N30^(J30^0.25),IF(('user page'!$R$36=1),$N30^(J30^0.5),IF(('user page'!$R$36=2),$N30^(J30^0.375),IF(('user page'!$R$36=4),$N30^(J30),IF(('user page'!$R$36=3),$N30^(LN(1+J30)),"")))))</f>
        <v>0.89347221199235516</v>
      </c>
      <c r="Q30" s="15">
        <f>IF(('user page'!$R$36=0),$N30^(K30^0.25),IF(('user page'!$R$36=1),$N30^(K30^0.5),IF(('user page'!$R$36=2),$N30^(K30^0.375),IF(('user page'!$R$36=4),$N30^(K30),IF(('user page'!$R$36=3),$N30^(LN(1+K30)),"")))))</f>
        <v>0.88231808932950806</v>
      </c>
      <c r="R30" s="15">
        <f>IF(('user page'!$R$36=0),$N30^(L30^0.25),IF(('user page'!$R$36=1),$N30^(L30^0.5),IF(('user page'!$R$36=2),$N30^(L30^0.375),IF(('user page'!$R$36=4),$N30^(L30),IF(('user page'!$R$36=3),$N30^(LN(1+L30)),"")))))</f>
        <v>0.87898175688313596</v>
      </c>
      <c r="S30" s="15">
        <f>IF(('user page'!$R$36=0),$N30^(M30^0.25),IF(('user page'!$R$36=1),$N30^(M30^0.5),IF(('user page'!$R$36=2),$N30^(M30^0.375),IF(('user page'!$R$36=4),$N30^(M30),IF(('user page'!$R$36=3),$N30^(LN(1+M30)),"")))))</f>
        <v>0.85643834210240544</v>
      </c>
      <c r="T30" s="18">
        <f t="shared" ref="T30:X35" si="22">O30/$O30</f>
        <v>1</v>
      </c>
      <c r="U30" s="18">
        <f t="shared" si="22"/>
        <v>0.95617579402742903</v>
      </c>
      <c r="V30" s="18">
        <f t="shared" si="22"/>
        <v>0.94423887875387558</v>
      </c>
      <c r="W30" s="18">
        <f t="shared" si="22"/>
        <v>0.9406684036084475</v>
      </c>
      <c r="X30" s="18">
        <f t="shared" si="22"/>
        <v>0.91654289949233392</v>
      </c>
      <c r="Y30" s="18"/>
      <c r="Z30" s="16"/>
      <c r="AA30" s="17">
        <f>GBDNZ!E132/($T30+$W30+$X30+U30+V30)</f>
        <v>0</v>
      </c>
      <c r="AB30" s="16">
        <f t="shared" ref="AB30:AE35" si="23">$AA30*U30</f>
        <v>0</v>
      </c>
      <c r="AC30" s="16">
        <f t="shared" si="23"/>
        <v>0</v>
      </c>
      <c r="AD30" s="16">
        <f t="shared" si="23"/>
        <v>0</v>
      </c>
      <c r="AE30" s="16">
        <f t="shared" si="23"/>
        <v>0</v>
      </c>
      <c r="AF30" s="17">
        <f>GBDNZ!F132/($T30+$W30+$X30+U30+V30)</f>
        <v>0</v>
      </c>
      <c r="AG30" s="16">
        <f t="shared" ref="AG30:AJ35" si="24">$AF30*U30</f>
        <v>0</v>
      </c>
      <c r="AH30" s="16">
        <f t="shared" si="24"/>
        <v>0</v>
      </c>
      <c r="AI30" s="16">
        <f t="shared" si="24"/>
        <v>0</v>
      </c>
      <c r="AJ30" s="16">
        <f t="shared" si="24"/>
        <v>0</v>
      </c>
      <c r="AK30" s="17">
        <f>GBDNZ!G132/($T30+$W30+$X30+U30+V30)</f>
        <v>1330.5992059466794</v>
      </c>
      <c r="AL30" s="16">
        <f t="shared" ref="AL30:AO35" si="25">$AK30*U30</f>
        <v>1272.2867522783326</v>
      </c>
      <c r="AM30" s="16">
        <f t="shared" si="25"/>
        <v>1256.4035022938897</v>
      </c>
      <c r="AN30" s="16">
        <f t="shared" si="25"/>
        <v>1251.6526309005308</v>
      </c>
      <c r="AO30" s="16">
        <f t="shared" si="25"/>
        <v>1219.5512542805666</v>
      </c>
      <c r="AP30" s="15"/>
      <c r="AQ30" s="15"/>
      <c r="AR30" s="15"/>
      <c r="AS30" s="15"/>
    </row>
    <row r="31" spans="1:45" s="13" customFormat="1" ht="13" x14ac:dyDescent="0.3">
      <c r="A31" s="20">
        <v>0</v>
      </c>
      <c r="B31" s="20">
        <v>2</v>
      </c>
      <c r="C31" s="20" t="s">
        <v>38</v>
      </c>
      <c r="D31" s="17">
        <f>Baseline!AN30</f>
        <v>0.32214184162495779</v>
      </c>
      <c r="E31" s="17">
        <f>Baseline!AO30</f>
        <v>0.76703533590520923</v>
      </c>
      <c r="F31" s="17">
        <f>Baseline!AP30</f>
        <v>1.3988266668242526</v>
      </c>
      <c r="G31" s="17">
        <f>Baseline!AQ30</f>
        <v>2.5510116056249852</v>
      </c>
      <c r="H31" s="17">
        <f>Baseline!AR30</f>
        <v>6.0740822550356066</v>
      </c>
      <c r="I31" s="17">
        <f>IF((D31+'Non travel METs'!C31)&gt;2.5,(D31+'Non travel METs'!C31),0.1)</f>
        <v>41.322141841624955</v>
      </c>
      <c r="J31" s="17">
        <f>IF((E31+'Non travel METs'!D31)&gt;2.5,(E31+'Non travel METs'!D31),0.1)</f>
        <v>36.642035335905206</v>
      </c>
      <c r="K31" s="17">
        <f>IF((F31+'Non travel METs'!E31)&gt;2.5,(F31+'Non travel METs'!E31),0.1)</f>
        <v>40.248826666824257</v>
      </c>
      <c r="L31" s="17">
        <f>IF((G31+'Non travel METs'!F31)&gt;2.5,(G31+'Non travel METs'!F31),0.1)</f>
        <v>43.551011605624986</v>
      </c>
      <c r="M31" s="17">
        <f>IF((H31+'Non travel METs'!G31)&gt;2.5,(H31+'Non travel METs'!G31),0.1)</f>
        <v>48.340748921702307</v>
      </c>
      <c r="N31" s="19">
        <f t="shared" si="21"/>
        <v>0.95590188686474464</v>
      </c>
      <c r="O31" s="15">
        <f>IF(('user page'!$R$36=0),$N31^(I31^0.25),IF(('user page'!$R$36=1),$N31^(I31^0.5),IF(('user page'!$R$36=2),$N31^(I31^0.375),IF(('user page'!$R$36=4),$N31^(I31),IF(('user page'!$R$36=3),$N31^(LN(1+I31)),"")))))</f>
        <v>0.7483285374944787</v>
      </c>
      <c r="P31" s="15">
        <f>IF(('user page'!$R$36=0),$N31^(J31^0.25),IF(('user page'!$R$36=1),$N31^(J31^0.5),IF(('user page'!$R$36=2),$N31^(J31^0.375),IF(('user page'!$R$36=4),$N31^(J31),IF(('user page'!$R$36=3),$N31^(LN(1+J31)),"")))))</f>
        <v>0.76109102249761007</v>
      </c>
      <c r="Q31" s="15">
        <f>IF(('user page'!$R$36=0),$N31^(K31^0.25),IF(('user page'!$R$36=1),$N31^(K31^0.5),IF(('user page'!$R$36=2),$N31^(K31^0.375),IF(('user page'!$R$36=4),$N31^(K31),IF(('user page'!$R$36=3),$N31^(LN(1+K31)),"")))))</f>
        <v>0.75117002625383633</v>
      </c>
      <c r="R31" s="15">
        <f>IF(('user page'!$R$36=0),$N31^(L31^0.25),IF(('user page'!$R$36=1),$N31^(L31^0.5),IF(('user page'!$R$36=2),$N31^(L31^0.375),IF(('user page'!$R$36=4),$N31^(L31),IF(('user page'!$R$36=3),$N31^(LN(1+L31)),"")))))</f>
        <v>0.74257657072399408</v>
      </c>
      <c r="S31" s="15">
        <f>IF(('user page'!$R$36=0),$N31^(M31^0.25),IF(('user page'!$R$36=1),$N31^(M31^0.5),IF(('user page'!$R$36=2),$N31^(M31^0.375),IF(('user page'!$R$36=4),$N31^(M31),IF(('user page'!$R$36=3),$N31^(LN(1+M31)),"")))))</f>
        <v>0.73083389267374665</v>
      </c>
      <c r="T31" s="18">
        <f t="shared" si="22"/>
        <v>1</v>
      </c>
      <c r="U31" s="18">
        <f t="shared" si="22"/>
        <v>1.0170546549592538</v>
      </c>
      <c r="V31" s="18">
        <f t="shared" si="22"/>
        <v>1.0037971139906963</v>
      </c>
      <c r="W31" s="18">
        <f t="shared" si="22"/>
        <v>0.99231358089089705</v>
      </c>
      <c r="X31" s="18">
        <f t="shared" si="22"/>
        <v>0.97662170564908979</v>
      </c>
      <c r="Y31" s="18"/>
      <c r="Z31" s="16"/>
      <c r="AA31" s="17">
        <f>GBDNZ!E133/($T31+$W31+$X31+U31+V31)</f>
        <v>0</v>
      </c>
      <c r="AB31" s="16">
        <f t="shared" si="23"/>
        <v>0</v>
      </c>
      <c r="AC31" s="16">
        <f t="shared" si="23"/>
        <v>0</v>
      </c>
      <c r="AD31" s="16">
        <f t="shared" si="23"/>
        <v>0</v>
      </c>
      <c r="AE31" s="16">
        <f t="shared" si="23"/>
        <v>0</v>
      </c>
      <c r="AF31" s="17">
        <f>GBDNZ!F133/($T31+$W31+$X31+U31+V31)</f>
        <v>0</v>
      </c>
      <c r="AG31" s="16">
        <f t="shared" si="24"/>
        <v>0</v>
      </c>
      <c r="AH31" s="16">
        <f t="shared" si="24"/>
        <v>0</v>
      </c>
      <c r="AI31" s="16">
        <f t="shared" si="24"/>
        <v>0</v>
      </c>
      <c r="AJ31" s="16">
        <f t="shared" si="24"/>
        <v>0</v>
      </c>
      <c r="AK31" s="17">
        <f>GBDNZ!G133/($T31+$W31+$X31+U31+V31)</f>
        <v>1225.5307543178446</v>
      </c>
      <c r="AL31" s="16">
        <f t="shared" si="25"/>
        <v>1246.4317584746896</v>
      </c>
      <c r="AM31" s="16">
        <f t="shared" si="25"/>
        <v>1230.1842342910934</v>
      </c>
      <c r="AN31" s="16">
        <f t="shared" si="25"/>
        <v>1216.1108113090627</v>
      </c>
      <c r="AO31" s="16">
        <f t="shared" si="25"/>
        <v>1196.8799356073091</v>
      </c>
      <c r="AP31" s="15"/>
      <c r="AQ31" s="15"/>
      <c r="AR31" s="15"/>
      <c r="AS31" s="15"/>
    </row>
    <row r="32" spans="1:45" s="13" customFormat="1" ht="13" x14ac:dyDescent="0.3">
      <c r="A32" s="20">
        <v>0</v>
      </c>
      <c r="B32" s="20">
        <v>2</v>
      </c>
      <c r="C32" s="20" t="s">
        <v>37</v>
      </c>
      <c r="D32" s="17">
        <f>Baseline!AN31</f>
        <v>0.46307739299727485</v>
      </c>
      <c r="E32" s="17">
        <f>Baseline!AO31</f>
        <v>1.1026097134606268</v>
      </c>
      <c r="F32" s="17">
        <f>Baseline!AP31</f>
        <v>2.0108068013163582</v>
      </c>
      <c r="G32" s="17">
        <f>Baseline!AQ31</f>
        <v>3.6670672703669323</v>
      </c>
      <c r="H32" s="17">
        <f>Baseline!AR31</f>
        <v>8.7314648768524989</v>
      </c>
      <c r="I32" s="17">
        <f>IF((D32+'Non travel METs'!C32)&gt;2.5,(D32+'Non travel METs'!C32),0.1)</f>
        <v>42.113077392997276</v>
      </c>
      <c r="J32" s="17">
        <f>IF((E32+'Non travel METs'!D32)&gt;2.5,(E32+'Non travel METs'!D32),0.1)</f>
        <v>44.15260971346062</v>
      </c>
      <c r="K32" s="17">
        <f>IF((F32+'Non travel METs'!E32)&gt;2.5,(F32+'Non travel METs'!E32),0.1)</f>
        <v>48.077473467983054</v>
      </c>
      <c r="L32" s="17">
        <f>IF((G32+'Non travel METs'!F32)&gt;2.5,(G32+'Non travel METs'!F32),0.1)</f>
        <v>44.667067270366935</v>
      </c>
      <c r="M32" s="17">
        <f>IF((H32+'Non travel METs'!G32)&gt;2.5,(H32+'Non travel METs'!G32),0.1)</f>
        <v>49.731464876852499</v>
      </c>
      <c r="N32" s="19">
        <f t="shared" si="21"/>
        <v>0.95590188686474464</v>
      </c>
      <c r="O32" s="15">
        <f>IF(('user page'!$R$36=0),$N32^(I32^0.25),IF(('user page'!$R$36=1),$N32^(I32^0.5),IF(('user page'!$R$36=2),$N32^(I32^0.375),IF(('user page'!$R$36=4),$N32^(I32),IF(('user page'!$R$36=3),$N32^(LN(1+I32)),"")))))</f>
        <v>0.74626493699704965</v>
      </c>
      <c r="P32" s="15">
        <f>IF(('user page'!$R$36=0),$N32^(J32^0.25),IF(('user page'!$R$36=1),$N32^(J32^0.5),IF(('user page'!$R$36=2),$N32^(J32^0.375),IF(('user page'!$R$36=4),$N32^(J32),IF(('user page'!$R$36=3),$N32^(LN(1+J32)),"")))))</f>
        <v>0.74105686932608128</v>
      </c>
      <c r="Q32" s="15">
        <f>IF(('user page'!$R$36=0),$N32^(K32^0.25),IF(('user page'!$R$36=1),$N32^(K32^0.5),IF(('user page'!$R$36=2),$N32^(K32^0.375),IF(('user page'!$R$36=4),$N32^(K32),IF(('user page'!$R$36=3),$N32^(LN(1+K32)),"")))))</f>
        <v>0.73145906122609927</v>
      </c>
      <c r="R32" s="15">
        <f>IF(('user page'!$R$36=0),$N32^(L32^0.25),IF(('user page'!$R$36=1),$N32^(L32^0.5),IF(('user page'!$R$36=2),$N32^(L32^0.375),IF(('user page'!$R$36=4),$N32^(L32),IF(('user page'!$R$36=3),$N32^(LN(1+L32)),"")))))</f>
        <v>0.73976793171749033</v>
      </c>
      <c r="S32" s="15">
        <f>IF(('user page'!$R$36=0),$N32^(M32^0.25),IF(('user page'!$R$36=1),$N32^(M32^0.5),IF(('user page'!$R$36=2),$N32^(M32^0.375),IF(('user page'!$R$36=4),$N32^(M32),IF(('user page'!$R$36=3),$N32^(LN(1+M32)),"")))))</f>
        <v>0.72756813131664488</v>
      </c>
      <c r="T32" s="18">
        <f t="shared" si="22"/>
        <v>1</v>
      </c>
      <c r="U32" s="18">
        <f t="shared" si="22"/>
        <v>0.99302115453537787</v>
      </c>
      <c r="V32" s="18">
        <f t="shared" si="22"/>
        <v>0.98016002757609266</v>
      </c>
      <c r="W32" s="18">
        <f t="shared" si="22"/>
        <v>0.9912939695308437</v>
      </c>
      <c r="X32" s="18">
        <f t="shared" si="22"/>
        <v>0.97494615550927499</v>
      </c>
      <c r="Y32" s="18"/>
      <c r="Z32" s="16"/>
      <c r="AA32" s="17">
        <f>GBDNZ!E134/($T32+$W32+$X32+U32+V32)</f>
        <v>0</v>
      </c>
      <c r="AB32" s="16">
        <f t="shared" si="23"/>
        <v>0</v>
      </c>
      <c r="AC32" s="16">
        <f t="shared" si="23"/>
        <v>0</v>
      </c>
      <c r="AD32" s="16">
        <f t="shared" si="23"/>
        <v>0</v>
      </c>
      <c r="AE32" s="16">
        <f t="shared" si="23"/>
        <v>0</v>
      </c>
      <c r="AF32" s="17">
        <f>GBDNZ!F134/($T32+$W32+$X32+U32+V32)</f>
        <v>0</v>
      </c>
      <c r="AG32" s="16">
        <f t="shared" si="24"/>
        <v>0</v>
      </c>
      <c r="AH32" s="16">
        <f t="shared" si="24"/>
        <v>0</v>
      </c>
      <c r="AI32" s="16">
        <f t="shared" si="24"/>
        <v>0</v>
      </c>
      <c r="AJ32" s="16">
        <f t="shared" si="24"/>
        <v>0</v>
      </c>
      <c r="AK32" s="17">
        <f>GBDNZ!G134/($T32+$W32+$X32+U32+V32)</f>
        <v>1254.2954772312689</v>
      </c>
      <c r="AL32" s="16">
        <f t="shared" si="25"/>
        <v>1245.5419429286974</v>
      </c>
      <c r="AM32" s="16">
        <f t="shared" si="25"/>
        <v>1229.4102895515689</v>
      </c>
      <c r="AN32" s="16">
        <f t="shared" si="25"/>
        <v>1243.3755425891686</v>
      </c>
      <c r="AO32" s="16">
        <f t="shared" si="25"/>
        <v>1222.870553399297</v>
      </c>
      <c r="AP32" s="15"/>
      <c r="AQ32" s="15"/>
      <c r="AR32" s="15"/>
      <c r="AS32" s="15"/>
    </row>
    <row r="33" spans="1:45" s="13" customFormat="1" ht="13" x14ac:dyDescent="0.3">
      <c r="A33" s="20">
        <v>0</v>
      </c>
      <c r="B33" s="20">
        <v>2</v>
      </c>
      <c r="C33" s="20" t="s">
        <v>36</v>
      </c>
      <c r="D33" s="17">
        <f>Baseline!AN32</f>
        <v>0.35634958562049185</v>
      </c>
      <c r="E33" s="17">
        <f>Baseline!AO32</f>
        <v>0.8484856320661196</v>
      </c>
      <c r="F33" s="17">
        <f>Baseline!AP32</f>
        <v>1.5473659074006401</v>
      </c>
      <c r="G33" s="17">
        <f>Baseline!AQ32</f>
        <v>2.8218995830906697</v>
      </c>
      <c r="H33" s="17">
        <f>Baseline!AR32</f>
        <v>6.7190796566149293</v>
      </c>
      <c r="I33" s="17">
        <f>IF((D33+'Non travel METs'!C33)&gt;2.5,(D33+'Non travel METs'!C33),0.1)</f>
        <v>33.15634958562049</v>
      </c>
      <c r="J33" s="17">
        <f>IF((E33+'Non travel METs'!D33)&gt;2.5,(E33+'Non travel METs'!D33),0.1)</f>
        <v>18.848485632066119</v>
      </c>
      <c r="K33" s="17">
        <f>IF((F33+'Non travel METs'!E33)&gt;2.5,(F33+'Non travel METs'!E33),0.1)</f>
        <v>33.297365907400639</v>
      </c>
      <c r="L33" s="17">
        <f>IF((G33+'Non travel METs'!F33)&gt;2.5,(G33+'Non travel METs'!F33),0.1)</f>
        <v>23.321899583090669</v>
      </c>
      <c r="M33" s="17">
        <f>IF((H33+'Non travel METs'!G33)&gt;2.5,(H33+'Non travel METs'!G33),0.1)</f>
        <v>11.21907965661493</v>
      </c>
      <c r="N33" s="19">
        <f t="shared" si="21"/>
        <v>0.95590188686474464</v>
      </c>
      <c r="O33" s="15">
        <f>IF(('user page'!$R$36=0),$N33^(I33^0.25),IF(('user page'!$R$36=1),$N33^(I33^0.5),IF(('user page'!$R$36=2),$N33^(I33^0.375),IF(('user page'!$R$36=4),$N33^(I33),IF(('user page'!$R$36=3),$N33^(LN(1+I33)),"")))))</f>
        <v>0.77128849480775596</v>
      </c>
      <c r="P33" s="15">
        <f>IF(('user page'!$R$36=0),$N33^(J33^0.25),IF(('user page'!$R$36=1),$N33^(J33^0.5),IF(('user page'!$R$36=2),$N33^(J33^0.375),IF(('user page'!$R$36=4),$N33^(J33),IF(('user page'!$R$36=3),$N33^(LN(1+J33)),"")))))</f>
        <v>0.8221758803940965</v>
      </c>
      <c r="Q33" s="15">
        <f>IF(('user page'!$R$36=0),$N33^(K33^0.25),IF(('user page'!$R$36=1),$N33^(K33^0.5),IF(('user page'!$R$36=2),$N33^(K33^0.375),IF(('user page'!$R$36=4),$N33^(K33),IF(('user page'!$R$36=3),$N33^(LN(1+K33)),"")))))</f>
        <v>0.77086312309662108</v>
      </c>
      <c r="R33" s="15">
        <f>IF(('user page'!$R$36=0),$N33^(L33^0.25),IF(('user page'!$R$36=1),$N33^(L33^0.5),IF(('user page'!$R$36=2),$N33^(L33^0.375),IF(('user page'!$R$36=4),$N33^(L33),IF(('user page'!$R$36=3),$N33^(LN(1+L33)),"")))))</f>
        <v>0.80428602993718501</v>
      </c>
      <c r="S33" s="15">
        <f>IF(('user page'!$R$36=0),$N33^(M33^0.25),IF(('user page'!$R$36=1),$N33^(M33^0.5),IF(('user page'!$R$36=2),$N33^(M33^0.375),IF(('user page'!$R$36=4),$N33^(M33),IF(('user page'!$R$36=3),$N33^(LN(1+M33)),"")))))</f>
        <v>0.85979441147287983</v>
      </c>
      <c r="T33" s="18">
        <f t="shared" si="22"/>
        <v>1</v>
      </c>
      <c r="U33" s="18">
        <f t="shared" si="22"/>
        <v>1.0659771096404391</v>
      </c>
      <c r="V33" s="18">
        <f t="shared" si="22"/>
        <v>0.9994484920830552</v>
      </c>
      <c r="W33" s="18">
        <f t="shared" si="22"/>
        <v>1.0427823510289151</v>
      </c>
      <c r="X33" s="18">
        <f t="shared" si="22"/>
        <v>1.1147507285029372</v>
      </c>
      <c r="Y33" s="18"/>
      <c r="Z33" s="16"/>
      <c r="AA33" s="17">
        <f>GBDNZ!E135/($T33+$W33+$X33+U33+V33)</f>
        <v>0</v>
      </c>
      <c r="AB33" s="16">
        <f t="shared" si="23"/>
        <v>0</v>
      </c>
      <c r="AC33" s="16">
        <f t="shared" si="23"/>
        <v>0</v>
      </c>
      <c r="AD33" s="16">
        <f t="shared" si="23"/>
        <v>0</v>
      </c>
      <c r="AE33" s="16">
        <f t="shared" si="23"/>
        <v>0</v>
      </c>
      <c r="AF33" s="17">
        <f>GBDNZ!F135/($T33+$W33+$X33+U33+V33)</f>
        <v>0</v>
      </c>
      <c r="AG33" s="16">
        <f t="shared" si="24"/>
        <v>0</v>
      </c>
      <c r="AH33" s="16">
        <f t="shared" si="24"/>
        <v>0</v>
      </c>
      <c r="AI33" s="16">
        <f t="shared" si="24"/>
        <v>0</v>
      </c>
      <c r="AJ33" s="16">
        <f t="shared" si="24"/>
        <v>0</v>
      </c>
      <c r="AK33" s="17">
        <f>GBDNZ!G135/($T33+$W33+$X33+U33+V33)</f>
        <v>574.70688800826269</v>
      </c>
      <c r="AL33" s="16">
        <f t="shared" si="25"/>
        <v>612.62438736949946</v>
      </c>
      <c r="AM33" s="16">
        <f t="shared" si="25"/>
        <v>574.38993260960342</v>
      </c>
      <c r="AN33" s="16">
        <f t="shared" si="25"/>
        <v>599.29419982976765</v>
      </c>
      <c r="AO33" s="16">
        <f t="shared" si="25"/>
        <v>640.65492208286685</v>
      </c>
      <c r="AP33" s="15"/>
      <c r="AQ33" s="15"/>
      <c r="AR33" s="15"/>
      <c r="AS33" s="15"/>
    </row>
    <row r="34" spans="1:45" s="13" customFormat="1" ht="13" x14ac:dyDescent="0.3">
      <c r="A34" s="20">
        <v>0</v>
      </c>
      <c r="B34" s="20">
        <v>2</v>
      </c>
      <c r="C34" s="20" t="s">
        <v>35</v>
      </c>
      <c r="D34" s="17">
        <f>Baseline!AN33</f>
        <v>0.30903559868571595</v>
      </c>
      <c r="E34" s="17">
        <f>Baseline!AO33</f>
        <v>0.73582873633823809</v>
      </c>
      <c r="F34" s="17">
        <f>Baseline!AP33</f>
        <v>1.3419158289374042</v>
      </c>
      <c r="G34" s="17">
        <f>Baseline!AQ33</f>
        <v>2.4472244736104138</v>
      </c>
      <c r="H34" s="17">
        <f>Baseline!AR33</f>
        <v>5.8269600641836821</v>
      </c>
      <c r="I34" s="17">
        <f>IF((D34+'Non travel METs'!C34)&gt;2.5,(D34+'Non travel METs'!C34),0.1)</f>
        <v>6.1423689320190462</v>
      </c>
      <c r="J34" s="17">
        <f>IF((E34+'Non travel METs'!D34)&gt;2.5,(E34+'Non travel METs'!D34),0.1)</f>
        <v>5.7358287363382381</v>
      </c>
      <c r="K34" s="17">
        <f>IF((F34+'Non travel METs'!E34)&gt;2.5,(F34+'Non travel METs'!E34),0.1)</f>
        <v>3.8419158289374042</v>
      </c>
      <c r="L34" s="17">
        <f>IF((G34+'Non travel METs'!F34)&gt;2.5,(G34+'Non travel METs'!F34),0.1)</f>
        <v>6.1972244736104134</v>
      </c>
      <c r="M34" s="17">
        <f>IF((H34+'Non travel METs'!G34)&gt;2.5,(H34+'Non travel METs'!G34),0.1)</f>
        <v>5.8269600641836821</v>
      </c>
      <c r="N34" s="19">
        <f t="shared" si="21"/>
        <v>0.95590188686474464</v>
      </c>
      <c r="O34" s="15">
        <f>IF(('user page'!$R$36=0),$N34^(I34^0.25),IF(('user page'!$R$36=1),$N34^(I34^0.5),IF(('user page'!$R$36=2),$N34^(I34^0.375),IF(('user page'!$R$36=4),$N34^(I34),IF(('user page'!$R$36=3),$N34^(LN(1+I34)),"")))))</f>
        <v>0.89424548326702746</v>
      </c>
      <c r="P34" s="15">
        <f>IF(('user page'!$R$36=0),$N34^(J34^0.25),IF(('user page'!$R$36=1),$N34^(J34^0.5),IF(('user page'!$R$36=2),$N34^(J34^0.375),IF(('user page'!$R$36=4),$N34^(J34),IF(('user page'!$R$36=3),$N34^(LN(1+J34)),"")))))</f>
        <v>0.89761623965175164</v>
      </c>
      <c r="Q34" s="15">
        <f>IF(('user page'!$R$36=0),$N34^(K34^0.25),IF(('user page'!$R$36=1),$N34^(K34^0.5),IF(('user page'!$R$36=2),$N34^(K34^0.375),IF(('user page'!$R$36=4),$N34^(K34),IF(('user page'!$R$36=3),$N34^(LN(1+K34)),"")))))</f>
        <v>0.91539498105234374</v>
      </c>
      <c r="R34" s="15">
        <f>IF(('user page'!$R$36=0),$N34^(L34^0.25),IF(('user page'!$R$36=1),$N34^(L34^0.5),IF(('user page'!$R$36=2),$N34^(L34^0.375),IF(('user page'!$R$36=4),$N34^(L34),IF(('user page'!$R$36=3),$N34^(LN(1+L34)),"")))))</f>
        <v>0.89380025644608763</v>
      </c>
      <c r="S34" s="15">
        <f>IF(('user page'!$R$36=0),$N34^(M34^0.25),IF(('user page'!$R$36=1),$N34^(M34^0.5),IF(('user page'!$R$36=2),$N34^(M34^0.375),IF(('user page'!$R$36=4),$N34^(M34),IF(('user page'!$R$36=3),$N34^(LN(1+M34)),"")))))</f>
        <v>0.89684939667925301</v>
      </c>
      <c r="T34" s="18">
        <f t="shared" si="22"/>
        <v>1</v>
      </c>
      <c r="U34" s="18">
        <f t="shared" si="22"/>
        <v>1.003769385977114</v>
      </c>
      <c r="V34" s="18">
        <f t="shared" si="22"/>
        <v>1.0236506621292052</v>
      </c>
      <c r="W34" s="18">
        <f t="shared" si="22"/>
        <v>0.99950212013449236</v>
      </c>
      <c r="X34" s="18">
        <f t="shared" si="22"/>
        <v>1.0029118552578118</v>
      </c>
      <c r="Y34" s="18"/>
      <c r="Z34" s="16"/>
      <c r="AA34" s="17">
        <f>GBDNZ!E136/($T34+$W34+$X34+U34+V34)</f>
        <v>0</v>
      </c>
      <c r="AB34" s="16">
        <f t="shared" si="23"/>
        <v>0</v>
      </c>
      <c r="AC34" s="16">
        <f t="shared" si="23"/>
        <v>0</v>
      </c>
      <c r="AD34" s="16">
        <f t="shared" si="23"/>
        <v>0</v>
      </c>
      <c r="AE34" s="16">
        <f t="shared" si="23"/>
        <v>0</v>
      </c>
      <c r="AF34" s="17">
        <f>GBDNZ!F136/($T34+$W34+$X34+U34+V34)</f>
        <v>0</v>
      </c>
      <c r="AG34" s="16">
        <f t="shared" si="24"/>
        <v>0</v>
      </c>
      <c r="AH34" s="16">
        <f t="shared" si="24"/>
        <v>0</v>
      </c>
      <c r="AI34" s="16">
        <f t="shared" si="24"/>
        <v>0</v>
      </c>
      <c r="AJ34" s="16">
        <f t="shared" si="24"/>
        <v>0</v>
      </c>
      <c r="AK34" s="17">
        <f>GBDNZ!G136/($T34+$W34+$X34+U34+V34)</f>
        <v>307.85787281166017</v>
      </c>
      <c r="AL34" s="16">
        <f t="shared" si="25"/>
        <v>309.01830796038058</v>
      </c>
      <c r="AM34" s="16">
        <f t="shared" si="25"/>
        <v>315.13891534534457</v>
      </c>
      <c r="AN34" s="16">
        <f t="shared" si="25"/>
        <v>307.70459657534923</v>
      </c>
      <c r="AO34" s="16">
        <f t="shared" si="25"/>
        <v>308.75431037726554</v>
      </c>
      <c r="AP34" s="15"/>
      <c r="AQ34" s="15"/>
      <c r="AR34" s="15"/>
      <c r="AS34" s="15"/>
    </row>
    <row r="35" spans="1:45" s="13" customFormat="1" ht="13" x14ac:dyDescent="0.3">
      <c r="A35" s="20">
        <v>0</v>
      </c>
      <c r="B35" s="20">
        <v>2</v>
      </c>
      <c r="C35" s="20" t="s">
        <v>34</v>
      </c>
      <c r="D35" s="17">
        <f>Baseline!AN34</f>
        <v>0.18233554535978089</v>
      </c>
      <c r="E35" s="17">
        <f>Baseline!AO34</f>
        <v>0.43414976948360384</v>
      </c>
      <c r="F35" s="17">
        <f>Baseline!AP34</f>
        <v>0.79175006224787237</v>
      </c>
      <c r="G35" s="17">
        <f>Baseline!AQ34</f>
        <v>1.4438984081809676</v>
      </c>
      <c r="H35" s="17">
        <f>Baseline!AR34</f>
        <v>3.4379920812071276</v>
      </c>
      <c r="I35" s="17">
        <f>IF((D35+'Non travel METs'!C35)&gt;2.5,(D35+'Non travel METs'!C35),0.1)</f>
        <v>6.6823355453597806</v>
      </c>
      <c r="J35" s="17">
        <f>IF((E35+'Non travel METs'!D35)&gt;2.5,(E35+'Non travel METs'!D35),0.1)</f>
        <v>3.5591497694836036</v>
      </c>
      <c r="K35" s="17">
        <f>IF((F35+'Non travel METs'!E35)&gt;2.5,(F35+'Non travel METs'!E35),0.1)</f>
        <v>0.1</v>
      </c>
      <c r="L35" s="17">
        <f>IF((G35+'Non travel METs'!F35)&gt;2.5,(G35+'Non travel METs'!F35),0.1)</f>
        <v>0.1</v>
      </c>
      <c r="M35" s="17">
        <f>IF((H35+'Non travel METs'!G35)&gt;2.5,(H35+'Non travel METs'!G35),0.1)</f>
        <v>3.4379920812071276</v>
      </c>
      <c r="N35" s="19">
        <f t="shared" si="21"/>
        <v>0.95590188686474464</v>
      </c>
      <c r="O35" s="15">
        <f>IF(('user page'!$R$36=0),$N35^(I35^0.25),IF(('user page'!$R$36=1),$N35^(I35^0.5),IF(('user page'!$R$36=2),$N35^(I35^0.375),IF(('user page'!$R$36=4),$N35^(I35),IF(('user page'!$R$36=3),$N35^(LN(1+I35)),"")))))</f>
        <v>0.88995492435749601</v>
      </c>
      <c r="P35" s="15">
        <f>IF(('user page'!$R$36=0),$N35^(J35^0.25),IF(('user page'!$R$36=1),$N35^(J35^0.5),IF(('user page'!$R$36=2),$N35^(J35^0.375),IF(('user page'!$R$36=4),$N35^(J35),IF(('user page'!$R$36=3),$N35^(LN(1+J35)),"")))))</f>
        <v>0.91843481327504417</v>
      </c>
      <c r="Q35" s="15">
        <f>IF(('user page'!$R$36=0),$N35^(K35^0.25),IF(('user page'!$R$36=1),$N35^(K35^0.5),IF(('user page'!$R$36=2),$N35^(K35^0.375),IF(('user page'!$R$36=4),$N35^(K35),IF(('user page'!$R$36=3),$N35^(LN(1+K35)),"")))))</f>
        <v>0.985839346491721</v>
      </c>
      <c r="R35" s="15">
        <f>IF(('user page'!$R$36=0),$N35^(L35^0.25),IF(('user page'!$R$36=1),$N35^(L35^0.5),IF(('user page'!$R$36=2),$N35^(L35^0.375),IF(('user page'!$R$36=4),$N35^(L35),IF(('user page'!$R$36=3),$N35^(LN(1+L35)),"")))))</f>
        <v>0.985839346491721</v>
      </c>
      <c r="S35" s="15">
        <f>IF(('user page'!$R$36=0),$N35^(M35^0.25),IF(('user page'!$R$36=1),$N35^(M35^0.5),IF(('user page'!$R$36=2),$N35^(M35^0.375),IF(('user page'!$R$36=4),$N35^(M35),IF(('user page'!$R$36=3),$N35^(LN(1+M35)),"")))))</f>
        <v>0.91977737428232431</v>
      </c>
      <c r="T35" s="18">
        <f t="shared" si="22"/>
        <v>1</v>
      </c>
      <c r="U35" s="18">
        <f t="shared" si="22"/>
        <v>1.0320014959612807</v>
      </c>
      <c r="V35" s="18">
        <f t="shared" si="22"/>
        <v>1.1077407624924924</v>
      </c>
      <c r="W35" s="18">
        <f t="shared" si="22"/>
        <v>1.1077407624924924</v>
      </c>
      <c r="X35" s="18">
        <f t="shared" si="22"/>
        <v>1.0335100678794027</v>
      </c>
      <c r="Y35" s="18"/>
      <c r="Z35" s="16"/>
      <c r="AA35" s="17">
        <f>GBDNZ!E137/($T35+$W35+$X35+U35+V35)</f>
        <v>0</v>
      </c>
      <c r="AB35" s="16">
        <f t="shared" si="23"/>
        <v>0</v>
      </c>
      <c r="AC35" s="16">
        <f t="shared" si="23"/>
        <v>0</v>
      </c>
      <c r="AD35" s="16">
        <f t="shared" si="23"/>
        <v>0</v>
      </c>
      <c r="AE35" s="16">
        <f t="shared" si="23"/>
        <v>0</v>
      </c>
      <c r="AF35" s="17">
        <f>GBDNZ!F137/($T35+$W35+$X35+U35+V35)</f>
        <v>0</v>
      </c>
      <c r="AG35" s="16">
        <f t="shared" si="24"/>
        <v>0</v>
      </c>
      <c r="AH35" s="16">
        <f t="shared" si="24"/>
        <v>0</v>
      </c>
      <c r="AI35" s="16">
        <f t="shared" si="24"/>
        <v>0</v>
      </c>
      <c r="AJ35" s="16">
        <f t="shared" si="24"/>
        <v>0</v>
      </c>
      <c r="AK35" s="17">
        <f>GBDNZ!G137/($T35+$W35+$X35+U35+V35)</f>
        <v>186.85275195833049</v>
      </c>
      <c r="AL35" s="16">
        <f t="shared" si="25"/>
        <v>192.83231954547918</v>
      </c>
      <c r="AM35" s="16">
        <f t="shared" si="25"/>
        <v>206.98440992814156</v>
      </c>
      <c r="AN35" s="16">
        <f t="shared" si="25"/>
        <v>206.98440992814156</v>
      </c>
      <c r="AO35" s="16">
        <f t="shared" si="25"/>
        <v>193.11420035990733</v>
      </c>
      <c r="AP35" s="15"/>
      <c r="AQ35" s="15"/>
      <c r="AR35" s="15"/>
      <c r="AS35" s="15"/>
    </row>
  </sheetData>
  <mergeCells count="8">
    <mergeCell ref="AF1:AJ1"/>
    <mergeCell ref="AK1:AO1"/>
    <mergeCell ref="AP1:AS1"/>
    <mergeCell ref="D1:H1"/>
    <mergeCell ref="I1:M1"/>
    <mergeCell ref="O1:S1"/>
    <mergeCell ref="T1:X1"/>
    <mergeCell ref="AA1:AE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9"/>
  <sheetViews>
    <sheetView tabSelected="1" zoomScale="101" zoomScaleNormal="101" zoomScalePageLayoutView="125" workbookViewId="0">
      <selection activeCell="Y3" sqref="Y3"/>
    </sheetView>
  </sheetViews>
  <sheetFormatPr defaultColWidth="8.81640625" defaultRowHeight="12.5" x14ac:dyDescent="0.25"/>
  <cols>
    <col min="1" max="1" width="8.26953125" customWidth="1"/>
    <col min="2" max="2" width="13" customWidth="1"/>
    <col min="3" max="3" width="7.1796875" customWidth="1"/>
    <col min="4" max="4" width="6.7265625" bestFit="1" customWidth="1"/>
    <col min="5" max="5" width="8" customWidth="1"/>
    <col min="6" max="6" width="6.81640625" customWidth="1"/>
    <col min="7" max="7" width="6.453125" customWidth="1"/>
    <col min="8" max="8" width="9" customWidth="1"/>
    <col min="9" max="9" width="6.7265625" customWidth="1"/>
    <col min="10" max="10" width="7.54296875" customWidth="1"/>
    <col min="11" max="14" width="7.54296875" style="545" customWidth="1"/>
    <col min="15" max="15" width="8" customWidth="1"/>
    <col min="16" max="16" width="6" customWidth="1"/>
    <col min="17" max="17" width="6.26953125" customWidth="1"/>
    <col min="18" max="18" width="7.7265625" customWidth="1"/>
    <col min="19" max="19" width="2.453125" customWidth="1"/>
    <col min="20" max="20" width="9.1796875" customWidth="1"/>
    <col min="21" max="21" width="5" customWidth="1"/>
    <col min="22" max="23" width="4.7265625" customWidth="1"/>
    <col min="24" max="24" width="5.81640625" customWidth="1"/>
    <col min="25" max="25" width="7.7265625" customWidth="1"/>
    <col min="26" max="26" width="5.453125" customWidth="1"/>
    <col min="27" max="30" width="4.7265625" customWidth="1"/>
    <col min="31" max="31" width="4.7265625" style="46" customWidth="1"/>
    <col min="32" max="33" width="4.7265625" customWidth="1"/>
    <col min="34" max="34" width="5.7265625" customWidth="1"/>
    <col min="35" max="35" width="7.54296875" customWidth="1"/>
    <col min="36" max="36" width="8" customWidth="1"/>
  </cols>
  <sheetData>
    <row r="1" spans="1:36" ht="12.65" customHeight="1" x14ac:dyDescent="0.25">
      <c r="A1" s="806" t="str">
        <f>'Calibration Data'!G2&amp;" Region"</f>
        <v>NZ Region</v>
      </c>
      <c r="B1" s="806"/>
      <c r="C1" s="806"/>
      <c r="D1" s="806"/>
      <c r="E1" s="806"/>
      <c r="F1" s="806"/>
      <c r="G1" s="806"/>
      <c r="H1" s="806"/>
      <c r="I1" s="806"/>
      <c r="J1" s="806"/>
      <c r="K1" s="806"/>
      <c r="L1" s="806"/>
      <c r="M1" s="806"/>
      <c r="N1" s="806"/>
      <c r="O1" s="806"/>
      <c r="P1" s="806"/>
      <c r="Q1" s="806"/>
      <c r="R1" s="806"/>
      <c r="S1" s="651"/>
      <c r="T1" s="805" t="s">
        <v>61</v>
      </c>
      <c r="U1" s="805"/>
      <c r="V1" s="805"/>
      <c r="W1" s="805"/>
      <c r="X1" s="805"/>
      <c r="Y1" s="831">
        <v>1</v>
      </c>
      <c r="Z1" s="831"/>
      <c r="AA1" s="801" t="str">
        <f>IF(($Y$1=0),C6,IF(($Y$1=1),E6,IF(($Y$1=2),G6,IF(($Y$1=3),I6,IF(($Y$1=4),K6,IF(($Y$1=5),M6,IF(($Y$1=6),O6,"")))))))</f>
        <v>Base case 2043 (1)</v>
      </c>
      <c r="AB1" s="801"/>
      <c r="AC1" s="801"/>
      <c r="AD1" s="801"/>
      <c r="AE1" s="801"/>
      <c r="AF1" s="801"/>
    </row>
    <row r="2" spans="1:36" s="1" customFormat="1" ht="13.4" customHeight="1" x14ac:dyDescent="0.25">
      <c r="A2" s="806"/>
      <c r="B2" s="806"/>
      <c r="C2" s="806"/>
      <c r="D2" s="806"/>
      <c r="E2" s="806"/>
      <c r="F2" s="806"/>
      <c r="G2" s="806"/>
      <c r="H2" s="806"/>
      <c r="I2" s="806"/>
      <c r="J2" s="806"/>
      <c r="K2" s="806"/>
      <c r="L2" s="806"/>
      <c r="M2" s="806"/>
      <c r="N2" s="806"/>
      <c r="O2" s="806"/>
      <c r="P2" s="806"/>
      <c r="Q2" s="806"/>
      <c r="R2" s="806"/>
      <c r="S2" s="651"/>
      <c r="T2" s="805"/>
      <c r="U2" s="805"/>
      <c r="V2" s="805"/>
      <c r="W2" s="805"/>
      <c r="X2" s="805"/>
      <c r="Y2" s="831"/>
      <c r="Z2" s="831"/>
      <c r="AA2" s="801"/>
      <c r="AB2" s="801"/>
      <c r="AC2" s="801"/>
      <c r="AD2" s="801"/>
      <c r="AE2" s="801"/>
      <c r="AF2" s="801"/>
    </row>
    <row r="3" spans="1:36" s="1" customFormat="1" ht="8.15" customHeight="1" thickBot="1" x14ac:dyDescent="0.3">
      <c r="A3" s="100"/>
      <c r="B3" s="100"/>
      <c r="C3" s="100"/>
      <c r="D3" s="100"/>
      <c r="E3" s="100"/>
      <c r="F3" s="100"/>
      <c r="G3" s="100"/>
      <c r="H3" s="100"/>
      <c r="I3" s="100"/>
      <c r="J3" s="100"/>
      <c r="K3" s="100"/>
      <c r="L3" s="100"/>
      <c r="M3" s="100"/>
      <c r="N3" s="100"/>
      <c r="O3" s="100"/>
      <c r="P3" s="100"/>
      <c r="Q3" s="100"/>
      <c r="R3" s="100"/>
      <c r="S3" s="100"/>
      <c r="T3" s="100"/>
      <c r="U3" s="100"/>
      <c r="V3" s="100"/>
      <c r="W3" s="245"/>
      <c r="X3" s="245"/>
      <c r="AE3" s="92"/>
    </row>
    <row r="4" spans="1:36" ht="12" customHeight="1" x14ac:dyDescent="0.25">
      <c r="A4" s="834" t="s">
        <v>127</v>
      </c>
      <c r="B4" s="835"/>
      <c r="C4" s="835"/>
      <c r="D4" s="835"/>
      <c r="E4" s="835"/>
      <c r="F4" s="835"/>
      <c r="G4" s="835"/>
      <c r="H4" s="835"/>
      <c r="I4" s="835"/>
      <c r="J4" s="835"/>
      <c r="K4" s="835"/>
      <c r="L4" s="835"/>
      <c r="M4" s="835"/>
      <c r="N4" s="835"/>
      <c r="O4" s="835"/>
      <c r="P4" s="835"/>
      <c r="Q4" s="835"/>
      <c r="R4" s="835"/>
      <c r="T4" s="821" t="s">
        <v>117</v>
      </c>
      <c r="U4" s="822"/>
      <c r="V4" s="822"/>
      <c r="W4" s="822"/>
      <c r="X4" s="822"/>
      <c r="Y4" s="822"/>
      <c r="Z4" s="822"/>
      <c r="AA4" s="822"/>
      <c r="AB4" s="822"/>
      <c r="AC4" s="822"/>
      <c r="AD4" s="822"/>
      <c r="AE4" s="822"/>
      <c r="AF4" s="822"/>
      <c r="AG4" s="822"/>
      <c r="AH4" s="822"/>
      <c r="AI4" s="864" t="s">
        <v>245</v>
      </c>
      <c r="AJ4" s="865"/>
    </row>
    <row r="5" spans="1:36" ht="12" customHeight="1" thickBot="1" x14ac:dyDescent="0.3">
      <c r="A5" s="836"/>
      <c r="B5" s="837"/>
      <c r="C5" s="837"/>
      <c r="D5" s="837"/>
      <c r="E5" s="837"/>
      <c r="F5" s="837"/>
      <c r="G5" s="837"/>
      <c r="H5" s="837"/>
      <c r="I5" s="837"/>
      <c r="J5" s="837"/>
      <c r="K5" s="837"/>
      <c r="L5" s="837"/>
      <c r="M5" s="837"/>
      <c r="N5" s="837"/>
      <c r="O5" s="837"/>
      <c r="P5" s="837"/>
      <c r="Q5" s="837"/>
      <c r="R5" s="837"/>
      <c r="T5" s="823"/>
      <c r="U5" s="824"/>
      <c r="V5" s="824"/>
      <c r="W5" s="824"/>
      <c r="X5" s="824"/>
      <c r="Y5" s="824"/>
      <c r="Z5" s="824"/>
      <c r="AA5" s="824"/>
      <c r="AB5" s="824"/>
      <c r="AC5" s="824"/>
      <c r="AD5" s="824"/>
      <c r="AE5" s="824"/>
      <c r="AF5" s="824"/>
      <c r="AG5" s="824"/>
      <c r="AH5" s="824"/>
      <c r="AI5" s="866"/>
      <c r="AJ5" s="867"/>
    </row>
    <row r="6" spans="1:36" ht="40.5" customHeight="1" x14ac:dyDescent="0.3">
      <c r="A6" s="107"/>
      <c r="B6" s="107"/>
      <c r="C6" s="832" t="str">
        <f>'Visions person'!C4:D4</f>
        <v>Baseline 2013 (0)</v>
      </c>
      <c r="D6" s="833"/>
      <c r="E6" s="832" t="str">
        <f>'Visions person'!E4:F4</f>
        <v>Base case 2043 (1)</v>
      </c>
      <c r="F6" s="833"/>
      <c r="G6" s="832" t="str">
        <f>'Visions person'!G4:H4</f>
        <v>Scenario A: staying close to the action (2)</v>
      </c>
      <c r="H6" s="833"/>
      <c r="I6" s="832" t="str">
        <f>'Visions person'!I4:J4</f>
        <v>Scenario B: metro-connected (3)</v>
      </c>
      <c r="J6" s="833"/>
      <c r="K6" s="832" t="str">
        <f>'Visions person'!K4:L4</f>
        <v>Scenario C: the golden triangle (4)</v>
      </c>
      <c r="L6" s="833"/>
      <c r="M6" s="832" t="str">
        <f>'Visions person'!M4:N4</f>
        <v>Scenario D: @home in town and country (5)</v>
      </c>
      <c r="N6" s="833"/>
      <c r="O6" s="832" t="str">
        <f>'Visions person'!O4:P4</f>
        <v>What if (6)</v>
      </c>
      <c r="P6" s="833"/>
      <c r="Q6" s="814" t="s">
        <v>61</v>
      </c>
      <c r="R6" s="815"/>
      <c r="T6" s="246"/>
      <c r="U6" s="816" t="s">
        <v>71</v>
      </c>
      <c r="V6" s="817"/>
      <c r="W6" s="816" t="s">
        <v>69</v>
      </c>
      <c r="X6" s="817"/>
      <c r="Y6" s="809" t="s">
        <v>147</v>
      </c>
      <c r="Z6" s="810"/>
      <c r="AA6" s="816" t="s">
        <v>29</v>
      </c>
      <c r="AB6" s="817"/>
      <c r="AC6" s="816" t="s">
        <v>31</v>
      </c>
      <c r="AD6" s="817"/>
      <c r="AE6" s="816" t="s">
        <v>32</v>
      </c>
      <c r="AF6" s="817"/>
      <c r="AG6" s="816" t="s">
        <v>146</v>
      </c>
      <c r="AH6" s="817"/>
      <c r="AI6" s="809" t="s">
        <v>161</v>
      </c>
      <c r="AJ6" s="810"/>
    </row>
    <row r="7" spans="1:36" ht="10.4" customHeight="1" x14ac:dyDescent="0.3">
      <c r="A7" s="802" t="s">
        <v>107</v>
      </c>
      <c r="B7" s="108" t="s">
        <v>91</v>
      </c>
      <c r="C7" s="109">
        <f>'Visions person'!C44/7</f>
        <v>6.1894060327849365</v>
      </c>
      <c r="D7" s="106">
        <f t="shared" ref="D7:D13" si="0">C7/C$14</f>
        <v>0.11122130635420428</v>
      </c>
      <c r="E7" s="109">
        <f>'Visions person'!E44/7</f>
        <v>5.6815641554605554</v>
      </c>
      <c r="F7" s="106">
        <f t="shared" ref="F7:F13" si="1">E7/E$14</f>
        <v>0.10190941947138168</v>
      </c>
      <c r="G7" s="109">
        <f>'Visions person'!G44/7</f>
        <v>7.7150579232966816</v>
      </c>
      <c r="H7" s="106">
        <f t="shared" ref="H7:H13" si="2">G7/G$14</f>
        <v>0.14561765431576523</v>
      </c>
      <c r="I7" s="109">
        <f>'Visions person'!I44/7</f>
        <v>6.296919304808517</v>
      </c>
      <c r="J7" s="106">
        <f t="shared" ref="J7:N13" si="3">I7/I$14</f>
        <v>0.11696111604153188</v>
      </c>
      <c r="K7" s="109">
        <f>'Visions person'!K44/7</f>
        <v>5.713362142030987</v>
      </c>
      <c r="L7" s="106">
        <f t="shared" si="3"/>
        <v>0.10252098369533587</v>
      </c>
      <c r="M7" s="109">
        <f>'Visions person'!M44/7</f>
        <v>4.8547345321204665</v>
      </c>
      <c r="N7" s="106">
        <f t="shared" si="3"/>
        <v>0.1032690627550987</v>
      </c>
      <c r="O7" s="258">
        <f>'Visions person'!O44/7</f>
        <v>8.8677405611013835</v>
      </c>
      <c r="P7" s="139">
        <f t="shared" ref="P7:P14" si="4">O7/O$14</f>
        <v>0.1490274993584311</v>
      </c>
      <c r="Q7" s="110">
        <f>IF(($Y$1=0),C7,IF(($Y$1=1),E7,IF(($Y$1=2),G7,IF(($Y$1=3),I7,IF(($Y$1=4),K7,IF(($Y$1=5),M7,IF(($Y$1=6),O7,"")))))))</f>
        <v>5.6815641554605554</v>
      </c>
      <c r="R7" s="711">
        <f>IF(($Y$1=0),D7,IF(($Y$1=1),F7,IF(($Y$1=2),H7,IF(($Y$1=3),J7,IF(($Y$1=4),L7,IF(($Y$1=5),N7,IF(($Y$1=6),P7,"")))))))</f>
        <v>0.10190941947138168</v>
      </c>
      <c r="T7" s="113" t="s">
        <v>119</v>
      </c>
      <c r="U7" s="114" t="s">
        <v>25</v>
      </c>
      <c r="V7" s="114" t="s">
        <v>26</v>
      </c>
      <c r="W7" s="114" t="s">
        <v>25</v>
      </c>
      <c r="X7" s="114" t="s">
        <v>26</v>
      </c>
      <c r="Y7" s="114" t="s">
        <v>25</v>
      </c>
      <c r="Z7" s="114" t="s">
        <v>26</v>
      </c>
      <c r="AA7" s="114" t="s">
        <v>25</v>
      </c>
      <c r="AB7" s="114" t="s">
        <v>26</v>
      </c>
      <c r="AC7" s="114" t="s">
        <v>25</v>
      </c>
      <c r="AD7" s="114" t="s">
        <v>26</v>
      </c>
      <c r="AE7" s="114" t="s">
        <v>25</v>
      </c>
      <c r="AF7" s="115" t="s">
        <v>26</v>
      </c>
      <c r="AG7" s="114" t="s">
        <v>25</v>
      </c>
      <c r="AH7" s="115" t="s">
        <v>26</v>
      </c>
      <c r="AI7" s="114" t="s">
        <v>25</v>
      </c>
      <c r="AJ7" s="115" t="s">
        <v>26</v>
      </c>
    </row>
    <row r="8" spans="1:36" ht="10.4" customHeight="1" x14ac:dyDescent="0.3">
      <c r="A8" s="803"/>
      <c r="B8" s="108" t="s">
        <v>92</v>
      </c>
      <c r="C8" s="444">
        <f>'Visions person'!C45/7</f>
        <v>0.59902996159571231</v>
      </c>
      <c r="D8" s="106">
        <f t="shared" si="0"/>
        <v>1.0764343867743628E-2</v>
      </c>
      <c r="E8" s="444">
        <f>'Visions person'!E45/7</f>
        <v>0.62804933873930036</v>
      </c>
      <c r="F8" s="106">
        <f t="shared" si="1"/>
        <v>1.1265232911044896E-2</v>
      </c>
      <c r="G8" s="109">
        <f>'Visions person'!G45/7</f>
        <v>1.9604070220085232</v>
      </c>
      <c r="H8" s="106">
        <f t="shared" si="2"/>
        <v>3.7001649875760524E-2</v>
      </c>
      <c r="I8" s="109">
        <f>'Visions person'!I45/7</f>
        <v>1.2507016958307307</v>
      </c>
      <c r="J8" s="106">
        <f t="shared" si="3"/>
        <v>2.3230957726851024E-2</v>
      </c>
      <c r="K8" s="109">
        <f>'Visions person'!K45/7</f>
        <v>0.938936679788413</v>
      </c>
      <c r="L8" s="106">
        <f t="shared" si="3"/>
        <v>1.6848347723556326E-2</v>
      </c>
      <c r="M8" s="109">
        <f>'Visions person'!M45/7</f>
        <v>0.86494734916907601</v>
      </c>
      <c r="N8" s="106">
        <f t="shared" si="3"/>
        <v>1.839900853284826E-2</v>
      </c>
      <c r="O8" s="258">
        <f>'Visions person'!O45/7</f>
        <v>0.85824750543423922</v>
      </c>
      <c r="P8" s="139">
        <f t="shared" si="4"/>
        <v>1.4423344783734917E-2</v>
      </c>
      <c r="Q8" s="110">
        <f t="shared" ref="Q8:Q14" si="5">IF(($Y$1=0),C8,IF(($Y$1=1),E8,IF(($Y$1=2),G8,IF(($Y$1=3),I8,IF(($Y$1=4),K8,IF(($Y$1=5),M8,IF(($Y$1=6),O8,"")))))))</f>
        <v>0.62804933873930036</v>
      </c>
      <c r="R8" s="711">
        <f t="shared" ref="R8:R14" si="6">IF(($Y$1=0),D8,IF(($Y$1=1),F8,IF(($Y$1=2),H8,IF(($Y$1=3),J8,IF(($Y$1=4),L8,IF(($Y$1=5),N8,IF(($Y$1=6),P8,"")))))))</f>
        <v>1.1265232911044896E-2</v>
      </c>
      <c r="T8" s="116" t="s">
        <v>4</v>
      </c>
      <c r="U8" s="117">
        <f>-'Breast cancer'!Y5</f>
        <v>0</v>
      </c>
      <c r="V8" s="117">
        <f>-'Breast cancer'!Y13</f>
        <v>3.5093128429730669E-4</v>
      </c>
      <c r="W8" s="117">
        <f>-'Colon Cancer'!Y5</f>
        <v>3.8444983009755518E-4</v>
      </c>
      <c r="X8" s="117">
        <f>-'Colon Cancer'!Y13</f>
        <v>3.5502479749505156E-4</v>
      </c>
      <c r="Y8" s="117">
        <f>-CVD_air!Y5</f>
        <v>1.2624560306744304E-3</v>
      </c>
      <c r="Z8" s="117">
        <f>-CVD_air!Y13</f>
        <v>1.5820674173621097E-3</v>
      </c>
      <c r="AA8" s="117">
        <f>-Depression!Y5</f>
        <v>2.1322722588568155E-4</v>
      </c>
      <c r="AB8" s="117">
        <f>-Depression!Y13</f>
        <v>2.8912496087496464E-4</v>
      </c>
      <c r="AC8" s="117">
        <f>-Dementia!Y5</f>
        <v>5.6135434808046725E-4</v>
      </c>
      <c r="AD8" s="117">
        <f>-Dementia!Y13</f>
        <v>7.3728056098798511E-4</v>
      </c>
      <c r="AE8" s="117">
        <f>-Diabetes!Y5</f>
        <v>1.1754791617142324E-3</v>
      </c>
      <c r="AF8" s="118">
        <f>-Diabetes!Y13</f>
        <v>1.4729522614909119E-3</v>
      </c>
      <c r="AG8" s="117">
        <f>-Stroke_air!Y5</f>
        <v>1.2624560306744304E-3</v>
      </c>
      <c r="AH8" s="118">
        <f>-Stroke_air!Y13</f>
        <v>1.5820674173621097E-3</v>
      </c>
      <c r="AI8" s="117">
        <f>-'All-cause mort'!Y5</f>
        <v>2.1254604963916179E-4</v>
      </c>
      <c r="AJ8" s="118">
        <f>-'All-cause mort'!Y13</f>
        <v>3.0921718107701501E-4</v>
      </c>
    </row>
    <row r="9" spans="1:36" ht="10.4" customHeight="1" x14ac:dyDescent="0.3">
      <c r="A9" s="803"/>
      <c r="B9" s="108" t="s">
        <v>93</v>
      </c>
      <c r="C9" s="109">
        <f>'Visions person'!C46/7</f>
        <v>1.9604337253308775</v>
      </c>
      <c r="D9" s="106">
        <f t="shared" si="0"/>
        <v>3.5228259189522104E-2</v>
      </c>
      <c r="E9" s="109">
        <f>'Visions person'!E46/7</f>
        <v>2.5227506857272304</v>
      </c>
      <c r="F9" s="106">
        <f t="shared" si="1"/>
        <v>4.5250225258197732E-2</v>
      </c>
      <c r="G9" s="109">
        <f>'Visions person'!G46/7</f>
        <v>4.2049425556655056</v>
      </c>
      <c r="H9" s="106">
        <f t="shared" si="2"/>
        <v>7.9366075741257078E-2</v>
      </c>
      <c r="I9" s="109">
        <f>'Visions person'!I46/7</f>
        <v>2.0626512984202252</v>
      </c>
      <c r="J9" s="106">
        <f t="shared" si="3"/>
        <v>3.8312385182309484E-2</v>
      </c>
      <c r="K9" s="109">
        <f>'Visions person'!K46/7</f>
        <v>2.0227841701906009</v>
      </c>
      <c r="L9" s="106">
        <f t="shared" si="3"/>
        <v>3.6296985518508608E-2</v>
      </c>
      <c r="M9" s="109">
        <f>'Visions person'!M46/7</f>
        <v>1.5682684154802842</v>
      </c>
      <c r="N9" s="106">
        <f t="shared" si="3"/>
        <v>3.3359931082438413E-2</v>
      </c>
      <c r="O9" s="258">
        <f>'Visions person'!O46/7</f>
        <v>3.7473759155148771</v>
      </c>
      <c r="P9" s="139">
        <f t="shared" si="4"/>
        <v>6.2976815570688266E-2</v>
      </c>
      <c r="Q9" s="110">
        <f t="shared" si="5"/>
        <v>2.5227506857272304</v>
      </c>
      <c r="R9" s="711">
        <f t="shared" si="6"/>
        <v>4.5250225258197732E-2</v>
      </c>
      <c r="T9" s="116" t="s">
        <v>5</v>
      </c>
      <c r="U9" s="117">
        <f>-'Breast cancer'!Y6</f>
        <v>0</v>
      </c>
      <c r="V9" s="117">
        <f>-'Breast cancer'!Y14</f>
        <v>2.5099114487980856E-4</v>
      </c>
      <c r="W9" s="117">
        <f>-'Colon Cancer'!Y6</f>
        <v>1.5390271377579978E-4</v>
      </c>
      <c r="X9" s="117">
        <f>-'Colon Cancer'!Y14</f>
        <v>2.5396653954667947E-4</v>
      </c>
      <c r="Y9" s="117">
        <f>-CVD_air!Y6</f>
        <v>3.860908991619727E-4</v>
      </c>
      <c r="Z9" s="117">
        <f>-CVD_air!Y14</f>
        <v>1.7133614810808107E-2</v>
      </c>
      <c r="AA9" s="117">
        <f>-Depression!Y6</f>
        <v>1.7302834884969087E-4</v>
      </c>
      <c r="AB9" s="117">
        <f>-Depression!Y14</f>
        <v>4.1507416965314015E-4</v>
      </c>
      <c r="AC9" s="117">
        <f>-Dementia!Y6</f>
        <v>2.2497537382548671E-4</v>
      </c>
      <c r="AD9" s="117">
        <f>-Dementia!Y14</f>
        <v>5.3713216039508183E-4</v>
      </c>
      <c r="AE9" s="117">
        <f>-Diabetes!Y6</f>
        <v>3.5989241148404183E-4</v>
      </c>
      <c r="AF9" s="118">
        <f>-Diabetes!Y14</f>
        <v>1.5862054740778841E-2</v>
      </c>
      <c r="AG9" s="117">
        <f>-Stroke_air!Y6</f>
        <v>3.860908991619727E-4</v>
      </c>
      <c r="AH9" s="118">
        <f>-Stroke_air!Y14</f>
        <v>1.7133614810808107E-2</v>
      </c>
      <c r="AI9" s="117">
        <f>-'All-cause mort'!Y6</f>
        <v>8.2804472279374153E-5</v>
      </c>
      <c r="AJ9" s="118">
        <f>-'All-cause mort'!Y14</f>
        <v>2.0703504162677966E-4</v>
      </c>
    </row>
    <row r="10" spans="1:36" ht="10.4" customHeight="1" x14ac:dyDescent="0.3">
      <c r="A10" s="803"/>
      <c r="B10" s="108" t="s">
        <v>96</v>
      </c>
      <c r="C10" s="109">
        <f>'Visions person'!C47/7</f>
        <v>0.44211907209217155</v>
      </c>
      <c r="D10" s="106">
        <f t="shared" si="0"/>
        <v>7.9447140002987353E-3</v>
      </c>
      <c r="E10" s="109">
        <f>'Visions person'!E47/7</f>
        <v>1.7445627654591238</v>
      </c>
      <c r="F10" s="106">
        <f t="shared" si="1"/>
        <v>3.1291977665772887E-2</v>
      </c>
      <c r="G10" s="109">
        <f>'Visions person'!G47/7</f>
        <v>1.9525759007267491</v>
      </c>
      <c r="H10" s="106">
        <f t="shared" si="2"/>
        <v>3.6853841586691069E-2</v>
      </c>
      <c r="I10" s="109">
        <f>'Visions person'!I47/7</f>
        <v>1.4342099173113765</v>
      </c>
      <c r="J10" s="106">
        <f t="shared" si="3"/>
        <v>2.6639501706568678E-2</v>
      </c>
      <c r="K10" s="109">
        <f>'Visions person'!K47/7</f>
        <v>1.47745257431414</v>
      </c>
      <c r="L10" s="106">
        <f t="shared" si="3"/>
        <v>2.65115159019217E-2</v>
      </c>
      <c r="M10" s="109">
        <f>'Visions person'!M47/7</f>
        <v>1.095024150052708</v>
      </c>
      <c r="N10" s="106">
        <f t="shared" si="3"/>
        <v>2.3293161947775823E-2</v>
      </c>
      <c r="O10" s="258">
        <f>'Visions person'!O47/7</f>
        <v>0.84511215102074466</v>
      </c>
      <c r="P10" s="139">
        <f t="shared" si="4"/>
        <v>1.420259756995009E-2</v>
      </c>
      <c r="Q10" s="110">
        <f t="shared" si="5"/>
        <v>1.7445627654591238</v>
      </c>
      <c r="R10" s="711">
        <f t="shared" si="6"/>
        <v>3.1291977665772887E-2</v>
      </c>
      <c r="T10" s="116" t="s">
        <v>6</v>
      </c>
      <c r="U10" s="117">
        <f>-'Breast cancer'!Y7</f>
        <v>0</v>
      </c>
      <c r="V10" s="117">
        <f>-'Breast cancer'!Y15</f>
        <v>2.6887310040057955E-4</v>
      </c>
      <c r="W10" s="117">
        <f>-'Colon Cancer'!Y7</f>
        <v>6.9860312761127474E-5</v>
      </c>
      <c r="X10" s="117">
        <f>-'Colon Cancer'!Y15</f>
        <v>2.7206798967505108E-4</v>
      </c>
      <c r="Y10" s="117">
        <f>-CVD_air!Y7</f>
        <v>2.2313846765209533E-4</v>
      </c>
      <c r="Z10" s="117">
        <f>-CVD_air!Y15</f>
        <v>1.2169761662024214E-3</v>
      </c>
      <c r="AA10" s="117">
        <f>-Depression!Y7</f>
        <v>7.8524555444658972E-5</v>
      </c>
      <c r="AB10" s="117">
        <f>-Depression!Y15</f>
        <v>4.4532585991730045E-4</v>
      </c>
      <c r="AC10" s="117">
        <f>-Dementia!Y7</f>
        <v>1.0203872246727919E-4</v>
      </c>
      <c r="AD10" s="117">
        <f>-Dementia!Y15</f>
        <v>5.7693834470340377E-4</v>
      </c>
      <c r="AE10" s="117">
        <f>-Diabetes!Y7</f>
        <v>2.0784910870563778E-4</v>
      </c>
      <c r="AF10" s="118">
        <f>-Diabetes!Y15</f>
        <v>1.1338386457151461E-3</v>
      </c>
      <c r="AG10" s="117">
        <f>-Stroke_air!Y7</f>
        <v>2.2313846765209533E-4</v>
      </c>
      <c r="AH10" s="118">
        <f>-Stroke_air!Y15</f>
        <v>1.2169761662024214E-3</v>
      </c>
      <c r="AI10" s="117">
        <f>-'All-cause mort'!Y7</f>
        <v>3.6728397271978963E-5</v>
      </c>
      <c r="AJ10" s="118">
        <f>-'All-cause mort'!Y15</f>
        <v>2.183461501343853E-4</v>
      </c>
    </row>
    <row r="11" spans="1:36" ht="10.4" customHeight="1" x14ac:dyDescent="0.3">
      <c r="A11" s="803"/>
      <c r="B11" s="108" t="s">
        <v>165</v>
      </c>
      <c r="C11" s="109">
        <f>'Visions person'!C48/7</f>
        <v>30.362933721340692</v>
      </c>
      <c r="D11" s="106">
        <f t="shared" si="0"/>
        <v>0.5456105376421948</v>
      </c>
      <c r="E11" s="109">
        <f>'Visions person'!E48/7</f>
        <v>31.233640280026517</v>
      </c>
      <c r="F11" s="106">
        <f t="shared" si="1"/>
        <v>0.56023342548306521</v>
      </c>
      <c r="G11" s="109">
        <f>'Visions person'!G48/7</f>
        <v>24.3420779511953</v>
      </c>
      <c r="H11" s="106">
        <f t="shared" si="2"/>
        <v>0.45944389888779058</v>
      </c>
      <c r="I11" s="109">
        <f>'Visions person'!I48/7</f>
        <v>29.980041379425387</v>
      </c>
      <c r="J11" s="106">
        <f t="shared" si="3"/>
        <v>0.556859462377298</v>
      </c>
      <c r="K11" s="109">
        <f>'Visions person'!K48/7</f>
        <v>31.362240592510002</v>
      </c>
      <c r="L11" s="106">
        <f t="shared" si="3"/>
        <v>0.56276631456289017</v>
      </c>
      <c r="M11" s="109">
        <f>'Visions person'!M48/7</f>
        <v>26.491756131612114</v>
      </c>
      <c r="N11" s="106">
        <f t="shared" si="3"/>
        <v>0.56352799691670885</v>
      </c>
      <c r="O11" s="258">
        <f>'Visions person'!O48/7</f>
        <v>29.52783440911789</v>
      </c>
      <c r="P11" s="139">
        <f t="shared" si="4"/>
        <v>0.49623230327276674</v>
      </c>
      <c r="Q11" s="110">
        <f t="shared" si="5"/>
        <v>31.233640280026517</v>
      </c>
      <c r="R11" s="711">
        <f t="shared" si="6"/>
        <v>0.56023342548306521</v>
      </c>
      <c r="T11" s="116" t="s">
        <v>7</v>
      </c>
      <c r="U11" s="117">
        <f>-'Breast cancer'!Y8</f>
        <v>0</v>
      </c>
      <c r="V11" s="117">
        <f>-'Breast cancer'!Y16</f>
        <v>5.6909351684564236E-4</v>
      </c>
      <c r="W11" s="117">
        <f>-'Colon Cancer'!Y8</f>
        <v>5.747275349847758E-4</v>
      </c>
      <c r="X11" s="117">
        <f>-'Colon Cancer'!Y16</f>
        <v>5.7604330517735391E-4</v>
      </c>
      <c r="Y11" s="117">
        <f>-CVD_air!Y8</f>
        <v>1.743029296366494E-3</v>
      </c>
      <c r="Z11" s="117">
        <f>-CVD_air!Y16</f>
        <v>1.6682904076787963E-3</v>
      </c>
      <c r="AA11" s="117">
        <f>-Depression!Y8</f>
        <v>6.455654930876964E-4</v>
      </c>
      <c r="AB11" s="117">
        <f>-Depression!Y16</f>
        <v>9.5969988342803347E-4</v>
      </c>
      <c r="AC11" s="117">
        <f>-Dementia!Y8</f>
        <v>8.3732278161652296E-4</v>
      </c>
      <c r="AD11" s="117">
        <f>-Dementia!Y16</f>
        <v>1.2601877147446761E-3</v>
      </c>
      <c r="AE11" s="117">
        <f>-Diabetes!Y8</f>
        <v>1.6233292184453241E-3</v>
      </c>
      <c r="AF11" s="118">
        <f>-Diabetes!Y16</f>
        <v>1.552749634753825E-3</v>
      </c>
      <c r="AG11" s="117">
        <f>-Stroke_air!Y8</f>
        <v>1.743029296366494E-3</v>
      </c>
      <c r="AH11" s="118">
        <f>-Stroke_air!Y16</f>
        <v>1.6682904076787963E-3</v>
      </c>
      <c r="AI11" s="117">
        <f>-'All-cause mort'!Y8</f>
        <v>3.2666751937537875E-4</v>
      </c>
      <c r="AJ11" s="118">
        <f>-'All-cause mort'!Y16</f>
        <v>6.2304940976853906E-4</v>
      </c>
    </row>
    <row r="12" spans="1:36" ht="10.4" customHeight="1" x14ac:dyDescent="0.3">
      <c r="A12" s="803"/>
      <c r="B12" s="108" t="s">
        <v>166</v>
      </c>
      <c r="C12" s="109">
        <f>'Visions person'!C49/7</f>
        <v>15.917639558108148</v>
      </c>
      <c r="D12" s="106">
        <f t="shared" si="0"/>
        <v>0.28603401624494179</v>
      </c>
      <c r="E12" s="109">
        <f>'Visions person'!E49/7</f>
        <v>13.940551610624395</v>
      </c>
      <c r="F12" s="106">
        <f t="shared" si="1"/>
        <v>0.25004971921053759</v>
      </c>
      <c r="G12" s="109">
        <f>'Visions person'!G49/7</f>
        <v>12.806548699342228</v>
      </c>
      <c r="H12" s="106">
        <f t="shared" si="2"/>
        <v>0.24171686071826223</v>
      </c>
      <c r="I12" s="109">
        <f>'Visions person'!I49/7</f>
        <v>12.813191030758967</v>
      </c>
      <c r="J12" s="106">
        <f t="shared" si="3"/>
        <v>0.23799655839110156</v>
      </c>
      <c r="K12" s="109">
        <f>'Visions person'!K49/7</f>
        <v>14.21393257545329</v>
      </c>
      <c r="L12" s="106">
        <f t="shared" si="3"/>
        <v>0.25505583465371495</v>
      </c>
      <c r="M12" s="109">
        <f>'Visions person'!M49/7</f>
        <v>12.135809648548397</v>
      </c>
      <c r="N12" s="106">
        <f t="shared" si="3"/>
        <v>0.25815081749330515</v>
      </c>
      <c r="O12" s="258">
        <f>'Visions person'!O49/7</f>
        <v>15.479842276423083</v>
      </c>
      <c r="P12" s="139">
        <f t="shared" si="4"/>
        <v>0.2601476857631177</v>
      </c>
      <c r="Q12" s="110">
        <f t="shared" si="5"/>
        <v>13.940551610624395</v>
      </c>
      <c r="R12" s="711">
        <f t="shared" si="6"/>
        <v>0.25004971921053759</v>
      </c>
      <c r="T12" s="116" t="s">
        <v>8</v>
      </c>
      <c r="U12" s="117">
        <f>-'Breast cancer'!Y9</f>
        <v>0</v>
      </c>
      <c r="V12" s="117">
        <f>-'Breast cancer'!Y17</f>
        <v>7.3555584572493338E-4</v>
      </c>
      <c r="W12" s="117">
        <f>-'Colon Cancer'!Y9</f>
        <v>1.1374305424778353E-3</v>
      </c>
      <c r="X12" s="117">
        <f>-'Colon Cancer'!Y17</f>
        <v>7.4432985204153645E-4</v>
      </c>
      <c r="Y12" s="117">
        <f>-CVD_air!Y9</f>
        <v>1.7486522416583217E-3</v>
      </c>
      <c r="Z12" s="117">
        <f>-CVD_air!Y17</f>
        <v>8.1836567127280269E-4</v>
      </c>
      <c r="AA12" s="117">
        <f>-Depression!Y9</f>
        <v>1.2749268692018312E-3</v>
      </c>
      <c r="AB12" s="117">
        <f>-Depression!Y17</f>
        <v>1.2213391922692995E-3</v>
      </c>
      <c r="AC12" s="117">
        <f>-Dementia!Y9</f>
        <v>1.6442395007085775E-3</v>
      </c>
      <c r="AD12" s="117">
        <f>-Dementia!Y17</f>
        <v>1.585273090096484E-3</v>
      </c>
      <c r="AE12" s="117">
        <f>-Diabetes!Y9</f>
        <v>1.6298347222469811E-3</v>
      </c>
      <c r="AF12" s="118">
        <f>-Diabetes!Y17</f>
        <v>7.6347967803380712E-4</v>
      </c>
      <c r="AG12" s="117">
        <f>-Stroke_air!Y9</f>
        <v>1.7486522416583217E-3</v>
      </c>
      <c r="AH12" s="118">
        <f>-Stroke_air!Y17</f>
        <v>8.1836567127280269E-4</v>
      </c>
      <c r="AI12" s="117">
        <f>-'All-cause mort'!Y9</f>
        <v>8.9859288334581677E-4</v>
      </c>
      <c r="AJ12" s="118">
        <f>-'All-cause mort'!Y17</f>
        <v>1.0273660298001364E-3</v>
      </c>
    </row>
    <row r="13" spans="1:36" ht="10.4" customHeight="1" x14ac:dyDescent="0.3">
      <c r="A13" s="803"/>
      <c r="B13" s="138" t="s">
        <v>128</v>
      </c>
      <c r="C13" s="109">
        <f>'Visions person'!C50/7</f>
        <v>0.17790146834712969</v>
      </c>
      <c r="D13" s="106">
        <f t="shared" si="0"/>
        <v>3.1968227010946218E-3</v>
      </c>
      <c r="E13" s="109">
        <f>'Visions person'!E50/7</f>
        <v>0</v>
      </c>
      <c r="F13" s="106">
        <f t="shared" si="1"/>
        <v>0</v>
      </c>
      <c r="G13" s="109">
        <f>'Visions person'!G50/7</f>
        <v>0</v>
      </c>
      <c r="H13" s="106">
        <f t="shared" si="2"/>
        <v>0</v>
      </c>
      <c r="I13" s="109">
        <f>'Visions person'!I50/7</f>
        <v>0</v>
      </c>
      <c r="J13" s="106">
        <f t="shared" si="3"/>
        <v>0</v>
      </c>
      <c r="K13" s="109">
        <f>'Visions person'!K50/7</f>
        <v>0</v>
      </c>
      <c r="L13" s="106">
        <f t="shared" si="3"/>
        <v>0</v>
      </c>
      <c r="M13" s="109">
        <f>'Visions person'!M50/7</f>
        <v>0</v>
      </c>
      <c r="N13" s="106">
        <f t="shared" si="3"/>
        <v>0</v>
      </c>
      <c r="O13" s="258">
        <f>'Visions person'!O50/7</f>
        <v>0.17790146834712969</v>
      </c>
      <c r="P13" s="139">
        <f t="shared" si="4"/>
        <v>2.9897368757338763E-3</v>
      </c>
      <c r="Q13" s="110">
        <f t="shared" si="5"/>
        <v>0</v>
      </c>
      <c r="R13" s="711">
        <f t="shared" si="6"/>
        <v>0</v>
      </c>
      <c r="T13" s="116" t="s">
        <v>9</v>
      </c>
      <c r="U13" s="117">
        <f>-'Breast cancer'!Y10</f>
        <v>0</v>
      </c>
      <c r="V13" s="117">
        <f>-'Breast cancer'!Y18</f>
        <v>3.8955244988247983E-4</v>
      </c>
      <c r="W13" s="117">
        <f>-'Colon Cancer'!Y10</f>
        <v>9.7725348801480649E-4</v>
      </c>
      <c r="X13" s="117">
        <f>-'Colon Cancer'!Y18</f>
        <v>3.9413573669255797E-4</v>
      </c>
      <c r="Y13" s="117">
        <f>-CVD_air!Y10</f>
        <v>8.5460582873575497E-4</v>
      </c>
      <c r="Z13" s="117">
        <f>-CVD_air!Y18</f>
        <v>7.3259072966491701E-4</v>
      </c>
      <c r="AA13" s="117">
        <f>-Depression!Y10</f>
        <v>1.0966931517510936E-3</v>
      </c>
      <c r="AB13" s="117">
        <f>-Depression!Y18</f>
        <v>6.4100403038147569E-4</v>
      </c>
      <c r="AC13" s="117">
        <f>-Dementia!Y10</f>
        <v>1.4187546562920428E-3</v>
      </c>
      <c r="AD13" s="117">
        <f>-Dementia!Y18</f>
        <v>8.2625455528018144E-4</v>
      </c>
      <c r="AE13" s="117">
        <f>-Diabetes!Y10</f>
        <v>7.9655088783336936E-4</v>
      </c>
      <c r="AF13" s="118">
        <f>-Diabetes!Y18</f>
        <v>6.8196146655297163E-4</v>
      </c>
      <c r="AG13" s="117">
        <f>-Stroke_air!Y10</f>
        <v>8.5460582873575497E-4</v>
      </c>
      <c r="AH13" s="118">
        <f>-Stroke_air!Y18</f>
        <v>7.3259072966491701E-4</v>
      </c>
      <c r="AI13" s="117">
        <f>-'All-cause mort'!Y10</f>
        <v>9.2367118691516481E-4</v>
      </c>
      <c r="AJ13" s="118">
        <f>-'All-cause mort'!Y18</f>
        <v>5.9835445348599414E-4</v>
      </c>
    </row>
    <row r="14" spans="1:36" ht="10.4" customHeight="1" thickBot="1" x14ac:dyDescent="0.35">
      <c r="A14" s="803"/>
      <c r="B14" s="108" t="s">
        <v>72</v>
      </c>
      <c r="C14" s="109">
        <f>SUM(C7:C13)</f>
        <v>55.649463539599672</v>
      </c>
      <c r="D14" s="106">
        <f>SUM(D7:D13)</f>
        <v>0.99999999999999989</v>
      </c>
      <c r="E14" s="109">
        <f>SUM(E7:E13)</f>
        <v>55.751118836037122</v>
      </c>
      <c r="F14" s="106">
        <f>SUM(F7:F13)</f>
        <v>1</v>
      </c>
      <c r="G14" s="109">
        <f>SUM(G7:G13)+ 0.000001</f>
        <v>52.981611052234989</v>
      </c>
      <c r="H14" s="106">
        <f>SUM(H7:H13)</f>
        <v>0.99999998112552668</v>
      </c>
      <c r="I14" s="109">
        <f>SUM(I7:I13)+0.000001</f>
        <v>53.837715626555202</v>
      </c>
      <c r="J14" s="106">
        <f>SUM(J7:J13)</f>
        <v>0.9999999814256606</v>
      </c>
      <c r="K14" s="109">
        <f>SUM(K7:K13)+0.000001</f>
        <v>55.728709734287435</v>
      </c>
      <c r="L14" s="106">
        <f>SUM(L7:L13)</f>
        <v>0.99999998205592766</v>
      </c>
      <c r="M14" s="109">
        <f>SUM(M7:M13)+0.000001</f>
        <v>47.010541226983044</v>
      </c>
      <c r="N14" s="106">
        <f>SUM(N7:N13)</f>
        <v>0.99999997872817525</v>
      </c>
      <c r="O14" s="483">
        <f>SUM(O7:O13)+0.000001</f>
        <v>59.50405528695935</v>
      </c>
      <c r="P14" s="139">
        <f t="shared" si="4"/>
        <v>1</v>
      </c>
      <c r="Q14" s="110">
        <f t="shared" si="5"/>
        <v>55.751118836037122</v>
      </c>
      <c r="R14" s="711">
        <f t="shared" si="6"/>
        <v>1</v>
      </c>
      <c r="T14" s="119" t="s">
        <v>72</v>
      </c>
      <c r="U14" s="807">
        <f>'Breast cancer'!AS20</f>
        <v>4.0561953764448706E-4</v>
      </c>
      <c r="V14" s="820"/>
      <c r="W14" s="807">
        <f>'Colon Cancer'!AS20</f>
        <v>5.7694006914455463E-4</v>
      </c>
      <c r="X14" s="820"/>
      <c r="Y14" s="807">
        <f>CVD_air!AT20</f>
        <v>1.2102967020485079E-3</v>
      </c>
      <c r="Z14" s="820"/>
      <c r="AA14" s="807">
        <f>Depression!AS20</f>
        <v>4.2350777396155429E-4</v>
      </c>
      <c r="AB14" s="820"/>
      <c r="AC14" s="807">
        <f>Dementia!AS20</f>
        <v>1.1528625824952924E-3</v>
      </c>
      <c r="AD14" s="820"/>
      <c r="AE14" s="807">
        <f>Diabetes!AS20</f>
        <v>1.659019639262147E-3</v>
      </c>
      <c r="AF14" s="808"/>
      <c r="AG14" s="807">
        <f>Stroke_air!AT20</f>
        <v>1.4401069464816641E-3</v>
      </c>
      <c r="AH14" s="808"/>
      <c r="AI14" s="807">
        <f>'All-cause mort'!AR20</f>
        <v>4.7416839435316115E-4</v>
      </c>
      <c r="AJ14" s="808"/>
    </row>
    <row r="15" spans="1:36" ht="10.4" customHeight="1" x14ac:dyDescent="0.3">
      <c r="A15" s="804"/>
      <c r="B15" s="460"/>
      <c r="C15" s="471"/>
      <c r="D15" s="461"/>
      <c r="E15" s="471"/>
      <c r="F15" s="461"/>
      <c r="G15" s="471"/>
      <c r="H15" s="461"/>
      <c r="I15" s="471"/>
      <c r="J15" s="461"/>
      <c r="K15" s="702"/>
      <c r="L15" s="702"/>
      <c r="M15" s="702"/>
      <c r="N15" s="702"/>
      <c r="O15" s="472"/>
      <c r="P15" s="463"/>
      <c r="Q15" s="469"/>
      <c r="R15" s="464"/>
    </row>
    <row r="16" spans="1:36" s="322" customFormat="1" ht="10.4" customHeight="1" x14ac:dyDescent="0.3">
      <c r="A16" s="802" t="s">
        <v>371</v>
      </c>
      <c r="B16" s="108" t="s">
        <v>91</v>
      </c>
      <c r="C16" s="825">
        <f>'Visions person'!C27:D27</f>
        <v>4.82803</v>
      </c>
      <c r="D16" s="826"/>
      <c r="E16" s="825">
        <f>'Visions person'!E27:F27</f>
        <v>4.82803</v>
      </c>
      <c r="F16" s="826"/>
      <c r="G16" s="825">
        <f>'Visions person'!G27:H27</f>
        <v>4.82803</v>
      </c>
      <c r="H16" s="826"/>
      <c r="I16" s="825">
        <f>'Visions person'!I27:J27</f>
        <v>4.82803</v>
      </c>
      <c r="J16" s="826"/>
      <c r="K16" s="825">
        <f>'Visions person'!K27:L27</f>
        <v>4.82803</v>
      </c>
      <c r="L16" s="826"/>
      <c r="M16" s="825">
        <f>'Visions person'!M27:N27</f>
        <v>4.82803</v>
      </c>
      <c r="N16" s="826"/>
      <c r="O16" s="827">
        <f>I16</f>
        <v>4.82803</v>
      </c>
      <c r="P16" s="828"/>
      <c r="Q16" s="811">
        <f>IF(($Y$1=0),C16,IF(($Y$1=1),E16,IF(($Y$1=2),G16,IF(($Y$1=3),I16,IF(($Y$1=4),K16,IF(($Y$1=5),M16,IF(($Y$1=6),O16,"")))))))</f>
        <v>4.82803</v>
      </c>
      <c r="R16" s="812"/>
      <c r="AE16" s="46"/>
    </row>
    <row r="17" spans="1:33" ht="10.4" customHeight="1" x14ac:dyDescent="0.3">
      <c r="A17" s="803"/>
      <c r="B17" s="460" t="s">
        <v>92</v>
      </c>
      <c r="C17" s="825">
        <f>'Visions person'!C28:D28</f>
        <v>19.312100000000001</v>
      </c>
      <c r="D17" s="826"/>
      <c r="E17" s="825">
        <f>'Visions person'!E28:F28</f>
        <v>19.312100000000001</v>
      </c>
      <c r="F17" s="826"/>
      <c r="G17" s="825">
        <f>'Visions person'!G28:H28</f>
        <v>19.312100000000001</v>
      </c>
      <c r="H17" s="826"/>
      <c r="I17" s="825">
        <f>'Visions person'!I28:J28</f>
        <v>19.312100000000001</v>
      </c>
      <c r="J17" s="826"/>
      <c r="K17" s="825">
        <f>'Visions person'!K28:L28</f>
        <v>19.312100000000001</v>
      </c>
      <c r="L17" s="826"/>
      <c r="M17" s="825">
        <f>'Visions person'!M28:N28</f>
        <v>19.312100000000001</v>
      </c>
      <c r="N17" s="826"/>
      <c r="O17" s="827">
        <f>I17</f>
        <v>19.312100000000001</v>
      </c>
      <c r="P17" s="828"/>
      <c r="Q17" s="811">
        <f t="shared" ref="Q17:Q22" si="7">IF(($Y$1=0),C17,IF(($Y$1=1),E17,IF(($Y$1=2),G17,IF(($Y$1=3),I17,IF(($Y$1=4),K17,IF(($Y$1=5),M17,IF(($Y$1=6),O17,"")))))))</f>
        <v>19.312100000000001</v>
      </c>
      <c r="R17" s="812"/>
      <c r="V17" s="813" t="s">
        <v>151</v>
      </c>
      <c r="W17" s="813"/>
      <c r="X17" s="813"/>
      <c r="Y17" s="818">
        <f>'Health summary'!AC41+'Health summary'!AD41</f>
        <v>285.95677855248141</v>
      </c>
      <c r="Z17" s="818"/>
      <c r="AA17" s="819">
        <f>'Health summary'!AC42</f>
        <v>2.6171327663615724E-4</v>
      </c>
      <c r="AB17" s="819"/>
      <c r="AC17" s="819"/>
      <c r="AD17" s="813"/>
      <c r="AE17" s="813"/>
      <c r="AF17" s="819"/>
      <c r="AG17" s="819"/>
    </row>
    <row r="18" spans="1:33" ht="10.4" customHeight="1" x14ac:dyDescent="0.3">
      <c r="A18" s="803"/>
      <c r="B18" s="138" t="s">
        <v>93</v>
      </c>
      <c r="C18" s="825">
        <f>'Visions person'!C29:D29</f>
        <v>20.972821652285845</v>
      </c>
      <c r="D18" s="826"/>
      <c r="E18" s="825">
        <f>'Visions person'!E29:F29</f>
        <v>20.146741734473622</v>
      </c>
      <c r="F18" s="826"/>
      <c r="G18" s="825">
        <f>'Visions person'!G29:H29</f>
        <v>28.385855514448615</v>
      </c>
      <c r="H18" s="826"/>
      <c r="I18" s="825">
        <f>'Visions person'!I29:J29</f>
        <v>20.903192797712425</v>
      </c>
      <c r="J18" s="826"/>
      <c r="K18" s="825">
        <f>'Visions person'!K29:L29</f>
        <v>20.873522137167409</v>
      </c>
      <c r="L18" s="826"/>
      <c r="M18" s="825">
        <f>'Visions person'!M29:N29</f>
        <v>21.522605155762811</v>
      </c>
      <c r="N18" s="826"/>
      <c r="O18" s="827">
        <f>O26/(O9/60)</f>
        <v>20.972821652285845</v>
      </c>
      <c r="P18" s="828"/>
      <c r="Q18" s="811">
        <f t="shared" si="7"/>
        <v>20.146741734473622</v>
      </c>
      <c r="R18" s="812"/>
      <c r="V18" s="813"/>
      <c r="W18" s="813"/>
      <c r="X18" s="813"/>
      <c r="Y18" s="818"/>
      <c r="Z18" s="818"/>
      <c r="AA18" s="819"/>
      <c r="AB18" s="819"/>
      <c r="AC18" s="819"/>
      <c r="AD18" s="813"/>
      <c r="AE18" s="813"/>
      <c r="AF18" s="819"/>
      <c r="AG18" s="819"/>
    </row>
    <row r="19" spans="1:33" ht="10.4" customHeight="1" x14ac:dyDescent="0.3">
      <c r="A19" s="803"/>
      <c r="B19" s="108" t="s">
        <v>96</v>
      </c>
      <c r="C19" s="825">
        <f>'Visions person'!C30:D30</f>
        <v>38.215436859843315</v>
      </c>
      <c r="D19" s="826"/>
      <c r="E19" s="825">
        <f>'Visions person'!E30:F30</f>
        <v>32.120854273735674</v>
      </c>
      <c r="F19" s="826"/>
      <c r="G19" s="825">
        <f>'Visions person'!G30:H30</f>
        <v>33.150299335993843</v>
      </c>
      <c r="H19" s="826"/>
      <c r="I19" s="825">
        <f>'Visions person'!I30:J30</f>
        <v>32.793587768354705</v>
      </c>
      <c r="J19" s="826"/>
      <c r="K19" s="825">
        <f>'Visions person'!K30:L30</f>
        <v>32.190958528342918</v>
      </c>
      <c r="L19" s="826"/>
      <c r="M19" s="825">
        <f>'Visions person'!M30:N30</f>
        <v>32.958293974556952</v>
      </c>
      <c r="N19" s="826"/>
      <c r="O19" s="827">
        <f>O27/(O10/60)</f>
        <v>38.215436859843308</v>
      </c>
      <c r="P19" s="828"/>
      <c r="Q19" s="811">
        <f t="shared" si="7"/>
        <v>32.120854273735674</v>
      </c>
      <c r="R19" s="812"/>
      <c r="T19" s="94"/>
    </row>
    <row r="20" spans="1:33" ht="10.4" customHeight="1" x14ac:dyDescent="0.3">
      <c r="A20" s="803"/>
      <c r="B20" s="108" t="s">
        <v>165</v>
      </c>
      <c r="C20" s="825">
        <f>'Visions person'!C31:D31</f>
        <v>37.023120798372801</v>
      </c>
      <c r="D20" s="826"/>
      <c r="E20" s="825">
        <f>'Visions person'!E31:F31</f>
        <v>36.947016867241892</v>
      </c>
      <c r="F20" s="826"/>
      <c r="G20" s="825">
        <f>'Visions person'!G31:H31</f>
        <v>38.924810714105817</v>
      </c>
      <c r="H20" s="826"/>
      <c r="I20" s="825">
        <f>'Visions person'!I31:J31</f>
        <v>37.919570334410089</v>
      </c>
      <c r="J20" s="826"/>
      <c r="K20" s="825">
        <f>'Visions person'!K31:L31</f>
        <v>37.962301311573178</v>
      </c>
      <c r="L20" s="826"/>
      <c r="M20" s="825">
        <f>'Visions person'!M31:N31</f>
        <v>38.214325826114539</v>
      </c>
      <c r="N20" s="826"/>
      <c r="O20" s="827">
        <f>O28/(O11/60)</f>
        <v>37.023120798372801</v>
      </c>
      <c r="P20" s="828"/>
      <c r="Q20" s="811">
        <f t="shared" si="7"/>
        <v>36.947016867241892</v>
      </c>
      <c r="R20" s="812"/>
      <c r="T20" s="94"/>
    </row>
    <row r="21" spans="1:33" ht="10.4" customHeight="1" x14ac:dyDescent="0.3">
      <c r="A21" s="803"/>
      <c r="B21" s="108" t="s">
        <v>166</v>
      </c>
      <c r="C21" s="825">
        <f>'Visions person'!C32:D32</f>
        <v>39.769138942713887</v>
      </c>
      <c r="D21" s="826"/>
      <c r="E21" s="825">
        <f>'Visions person'!E32:F32</f>
        <v>40.523930776972641</v>
      </c>
      <c r="F21" s="826"/>
      <c r="G21" s="825">
        <f>'Visions person'!G32:H32</f>
        <v>42.635452819339747</v>
      </c>
      <c r="H21" s="826"/>
      <c r="I21" s="825">
        <f>'Visions person'!I32:J32</f>
        <v>42.783515912545361</v>
      </c>
      <c r="J21" s="826"/>
      <c r="K21" s="825">
        <f>'Visions person'!K32:L32</f>
        <v>42.219032173026385</v>
      </c>
      <c r="L21" s="826"/>
      <c r="M21" s="825">
        <f>'Visions person'!M32:N32</f>
        <v>42.519185695639251</v>
      </c>
      <c r="N21" s="826"/>
      <c r="O21" s="827">
        <f>O29/(O12/60)</f>
        <v>39.769138942713887</v>
      </c>
      <c r="P21" s="828"/>
      <c r="Q21" s="811">
        <f t="shared" si="7"/>
        <v>40.523930776972641</v>
      </c>
      <c r="R21" s="812"/>
      <c r="T21" s="94"/>
    </row>
    <row r="22" spans="1:33" ht="9.65" customHeight="1" x14ac:dyDescent="0.3">
      <c r="A22" s="803"/>
      <c r="B22" s="460" t="s">
        <v>128</v>
      </c>
      <c r="C22" s="825">
        <f>'Visions person'!C33:D33</f>
        <v>37.023120798372801</v>
      </c>
      <c r="D22" s="826"/>
      <c r="E22" s="825">
        <f>'Visions person'!E33:F33</f>
        <v>36.947016867241892</v>
      </c>
      <c r="F22" s="826"/>
      <c r="G22" s="825">
        <f>'Visions person'!G33:H33</f>
        <v>38.924810714105817</v>
      </c>
      <c r="H22" s="826"/>
      <c r="I22" s="825">
        <f>'Visions person'!I33:J33</f>
        <v>37.919570334410089</v>
      </c>
      <c r="J22" s="826"/>
      <c r="K22" s="825">
        <f>'Visions person'!K33:L33</f>
        <v>37.962301311573178</v>
      </c>
      <c r="L22" s="826"/>
      <c r="M22" s="825">
        <f>'Visions person'!M33:N33</f>
        <v>38.214325826114539</v>
      </c>
      <c r="N22" s="826"/>
      <c r="O22" s="827">
        <f>O30/(O13/60)</f>
        <v>42.216400297403922</v>
      </c>
      <c r="P22" s="828"/>
      <c r="Q22" s="811">
        <f t="shared" si="7"/>
        <v>36.947016867241892</v>
      </c>
      <c r="R22" s="812"/>
      <c r="T22" s="94"/>
    </row>
    <row r="23" spans="1:33" ht="10.4" customHeight="1" x14ac:dyDescent="0.3">
      <c r="A23" s="804"/>
      <c r="B23" s="138"/>
      <c r="C23" s="465"/>
      <c r="D23" s="466"/>
      <c r="E23" s="465"/>
      <c r="F23" s="466"/>
      <c r="G23" s="465"/>
      <c r="H23" s="466"/>
      <c r="I23" s="465"/>
      <c r="J23" s="466"/>
      <c r="K23" s="703"/>
      <c r="L23" s="703"/>
      <c r="M23" s="703"/>
      <c r="N23" s="703"/>
      <c r="O23" s="467"/>
      <c r="P23" s="468"/>
      <c r="Q23" s="469"/>
      <c r="R23" s="470"/>
      <c r="T23" s="94"/>
    </row>
    <row r="24" spans="1:33" ht="10.4" customHeight="1" x14ac:dyDescent="0.3">
      <c r="A24" s="802" t="s">
        <v>387</v>
      </c>
      <c r="B24" s="108" t="s">
        <v>91</v>
      </c>
      <c r="C24" s="111">
        <f>'Visions person'!C35/7</f>
        <v>0.49804396680777757</v>
      </c>
      <c r="D24" s="106">
        <f t="shared" ref="D24:D30" si="8">C24/C$31</f>
        <v>1.6030301408695873E-2</v>
      </c>
      <c r="E24" s="111">
        <f>'Visions person'!E35/7</f>
        <v>0.45717936982480378</v>
      </c>
      <c r="F24" s="106">
        <f t="shared" ref="F24:F30" si="9">E24/E$31</f>
        <v>1.4646550879706064E-2</v>
      </c>
      <c r="G24" s="111">
        <f>'Visions person'!G35/7</f>
        <v>0.62080885175690137</v>
      </c>
      <c r="H24" s="106">
        <f t="shared" ref="H24:H30" si="10">G24/G$31</f>
        <v>2.1161152622300679E-2</v>
      </c>
      <c r="I24" s="111">
        <f>'Visions person'!I35/7</f>
        <v>0.50669525518657776</v>
      </c>
      <c r="J24" s="106">
        <f t="shared" ref="J24:N30" si="11">I24/I$31</f>
        <v>1.6547508025262926E-2</v>
      </c>
      <c r="K24" s="111">
        <f>'Visions person'!K35/7</f>
        <v>0.45973806370983111</v>
      </c>
      <c r="L24" s="106">
        <f t="shared" si="11"/>
        <v>1.426508636298445E-2</v>
      </c>
      <c r="M24" s="111">
        <f>'Visions person'!M35/7</f>
        <v>0.3906467327185596</v>
      </c>
      <c r="N24" s="106">
        <f t="shared" si="11"/>
        <v>1.424101761873387E-2</v>
      </c>
      <c r="O24" s="258">
        <f>'Visions person'!O35/7</f>
        <v>0.44338702805506919</v>
      </c>
      <c r="P24" s="139">
        <f t="shared" ref="P24:P31" si="12">O24/O$31</f>
        <v>1.4271084832098518E-2</v>
      </c>
      <c r="Q24" s="112">
        <f>IF(($Y$1=0),C24,IF(($Y$1=1),E24,IF(($Y$1=2),G24,IF(($Y$1=3),I24,IF(($Y$1=4),K24,IF(($Y$1=5),M24,IF(($Y$1=6),O24,"")))))))</f>
        <v>0.45717936982480378</v>
      </c>
      <c r="R24" s="105">
        <f t="shared" ref="R24:R31" si="13">Q24/$Q$31</f>
        <v>1.4646550879706064E-2</v>
      </c>
      <c r="T24" s="94"/>
    </row>
    <row r="25" spans="1:33" s="322" customFormat="1" ht="9" customHeight="1" x14ac:dyDescent="0.3">
      <c r="A25" s="803"/>
      <c r="B25" s="108" t="s">
        <v>92</v>
      </c>
      <c r="C25" s="111">
        <f>'Visions person'!C36/7</f>
        <v>0.19280877535554261</v>
      </c>
      <c r="D25" s="106">
        <f t="shared" si="8"/>
        <v>6.2058432370967424E-3</v>
      </c>
      <c r="E25" s="111">
        <f>'Visions person'!E36/7</f>
        <v>0.20214919391112071</v>
      </c>
      <c r="F25" s="106">
        <f t="shared" si="9"/>
        <v>6.476207478577618E-3</v>
      </c>
      <c r="G25" s="111">
        <f>'Visions person'!G36/7</f>
        <v>0.63099294082884683</v>
      </c>
      <c r="H25" s="106">
        <f t="shared" si="10"/>
        <v>2.1508291782060811E-2</v>
      </c>
      <c r="I25" s="111">
        <f>'Visions person'!I36/7</f>
        <v>0.40256127033421091</v>
      </c>
      <c r="J25" s="106">
        <f t="shared" si="11"/>
        <v>1.3146730274911507E-2</v>
      </c>
      <c r="K25" s="111">
        <f>'Visions person'!K36/7</f>
        <v>0.30221398422903023</v>
      </c>
      <c r="L25" s="106">
        <f t="shared" si="11"/>
        <v>9.3773148786952341E-3</v>
      </c>
      <c r="M25" s="111">
        <f>'Visions person'!M36/7</f>
        <v>0.27839916169813522</v>
      </c>
      <c r="N25" s="106">
        <f t="shared" si="11"/>
        <v>1.0149035009695656E-2</v>
      </c>
      <c r="O25" s="258">
        <f>'Visions person'!O36/7</f>
        <v>0.17164950108684787</v>
      </c>
      <c r="P25" s="139">
        <f t="shared" si="12"/>
        <v>5.52479986196968E-3</v>
      </c>
      <c r="Q25" s="112">
        <f t="shared" ref="Q25:Q31" si="14">IF(($Y$1=0),C25,IF(($Y$1=1),E25,IF(($Y$1=2),G25,IF(($Y$1=3),I25,IF(($Y$1=4),K25,IF(($Y$1=5),M25,IF(($Y$1=6),O25,"")))))))</f>
        <v>0.20214919391112071</v>
      </c>
      <c r="R25" s="105">
        <f t="shared" si="13"/>
        <v>6.476207478577618E-3</v>
      </c>
      <c r="T25" s="94"/>
      <c r="AE25" s="46"/>
    </row>
    <row r="26" spans="1:33" ht="10.4" customHeight="1" x14ac:dyDescent="0.3">
      <c r="A26" s="803"/>
      <c r="B26" s="460" t="s">
        <v>93</v>
      </c>
      <c r="C26" s="111">
        <f>'Visions person'!C37/7</f>
        <v>0.68526378137484711</v>
      </c>
      <c r="D26" s="106">
        <f t="shared" si="8"/>
        <v>2.2056255455336498E-2</v>
      </c>
      <c r="E26" s="111">
        <f>'Visions person'!E37/7</f>
        <v>0.84708677543021227</v>
      </c>
      <c r="F26" s="106">
        <f t="shared" si="9"/>
        <v>2.7137925231882645E-2</v>
      </c>
      <c r="G26" s="111">
        <f>'Visions person'!G37/7</f>
        <v>1.9893481971946225</v>
      </c>
      <c r="H26" s="106">
        <f t="shared" si="10"/>
        <v>6.7809762538982896E-2</v>
      </c>
      <c r="I26" s="111">
        <f>'Visions person'!I37/7</f>
        <v>0.7185999627554972</v>
      </c>
      <c r="J26" s="106">
        <f t="shared" si="11"/>
        <v>2.3467831065976046E-2</v>
      </c>
      <c r="K26" s="111">
        <f>'Visions person'!K37/7</f>
        <v>0.70371050258642198</v>
      </c>
      <c r="L26" s="106">
        <f t="shared" si="11"/>
        <v>2.1835240295157307E-2</v>
      </c>
      <c r="M26" s="111">
        <f>'Visions person'!M37/7</f>
        <v>0.56255369807726563</v>
      </c>
      <c r="N26" s="106">
        <f t="shared" si="11"/>
        <v>2.0507882070458734E-2</v>
      </c>
      <c r="O26" s="258">
        <f>'Visions person'!O37/7</f>
        <v>1.3098841123360818</v>
      </c>
      <c r="P26" s="139">
        <f t="shared" si="12"/>
        <v>4.2160609365063648E-2</v>
      </c>
      <c r="Q26" s="112">
        <f t="shared" si="14"/>
        <v>0.84708677543021227</v>
      </c>
      <c r="R26" s="105">
        <f t="shared" si="13"/>
        <v>2.7137925231882645E-2</v>
      </c>
      <c r="T26" s="93"/>
    </row>
    <row r="27" spans="1:33" ht="10.4" customHeight="1" x14ac:dyDescent="0.3">
      <c r="A27" s="803"/>
      <c r="B27" s="108" t="s">
        <v>96</v>
      </c>
      <c r="C27" s="111">
        <f>'Visions person'!C38/7</f>
        <v>0.28159622473451495</v>
      </c>
      <c r="D27" s="106">
        <f t="shared" si="8"/>
        <v>9.0636021293022968E-3</v>
      </c>
      <c r="E27" s="111">
        <f>'Visions person'!E38/7</f>
        <v>0.93394743934496371</v>
      </c>
      <c r="F27" s="106">
        <f t="shared" si="9"/>
        <v>2.992066045014059E-2</v>
      </c>
      <c r="G27" s="111">
        <f>'Visions person'!G38/7</f>
        <v>1.0788079264223256</v>
      </c>
      <c r="H27" s="106">
        <f t="shared" si="10"/>
        <v>3.67727024454702E-2</v>
      </c>
      <c r="I27" s="111">
        <f>'Visions person'!I38/7</f>
        <v>0.78388148002658942</v>
      </c>
      <c r="J27" s="106">
        <f t="shared" si="11"/>
        <v>2.5599776095828291E-2</v>
      </c>
      <c r="K27" s="111">
        <f>'Visions person'!K38/7</f>
        <v>0.79267690912233257</v>
      </c>
      <c r="L27" s="106">
        <f t="shared" si="11"/>
        <v>2.4595754537545911E-2</v>
      </c>
      <c r="M27" s="111">
        <f>'Visions person'!M38/7</f>
        <v>0.6015021307779419</v>
      </c>
      <c r="N27" s="106">
        <f t="shared" si="11"/>
        <v>2.1927746284994502E-2</v>
      </c>
      <c r="O27" s="258">
        <f>'Visions person'!O38/7</f>
        <v>0.53827216744699391</v>
      </c>
      <c r="P27" s="139">
        <f t="shared" si="12"/>
        <v>1.7325107137413837E-2</v>
      </c>
      <c r="Q27" s="112">
        <f t="shared" si="14"/>
        <v>0.93394743934496371</v>
      </c>
      <c r="R27" s="105">
        <f t="shared" si="13"/>
        <v>2.992066045014059E-2</v>
      </c>
      <c r="T27" s="93"/>
      <c r="Z27" s="46"/>
      <c r="AB27" s="89"/>
    </row>
    <row r="28" spans="1:33" ht="10.4" customHeight="1" x14ac:dyDescent="0.3">
      <c r="A28" s="803"/>
      <c r="B28" s="108" t="s">
        <v>165</v>
      </c>
      <c r="C28" s="111">
        <f>'Visions person'!C39/7</f>
        <v>18.735509382636394</v>
      </c>
      <c r="D28" s="106">
        <f t="shared" si="8"/>
        <v>0.60303082150381115</v>
      </c>
      <c r="E28" s="111">
        <f>'Visions person'!E39/7</f>
        <v>19.233163904191759</v>
      </c>
      <c r="F28" s="106">
        <f t="shared" si="9"/>
        <v>0.61616847192475266</v>
      </c>
      <c r="G28" s="111">
        <f>'Visions person'!G39/7</f>
        <v>15.79184627730476</v>
      </c>
      <c r="H28" s="106">
        <f t="shared" si="10"/>
        <v>0.53828753941932161</v>
      </c>
      <c r="I28" s="111">
        <f>'Visions person'!I39/7</f>
        <v>18.947171461927432</v>
      </c>
      <c r="J28" s="106">
        <f t="shared" si="11"/>
        <v>0.61877128039580298</v>
      </c>
      <c r="K28" s="111">
        <f>'Visions person'!K39/7</f>
        <v>19.843047119648599</v>
      </c>
      <c r="L28" s="106">
        <f t="shared" si="11"/>
        <v>0.61570447002451245</v>
      </c>
      <c r="M28" s="111">
        <f>'Visions person'!M39/7</f>
        <v>16.872743341989885</v>
      </c>
      <c r="N28" s="106">
        <f t="shared" si="11"/>
        <v>0.61509546883312927</v>
      </c>
      <c r="O28" s="258">
        <f>'Visions person'!O39/7</f>
        <v>18.220209670718678</v>
      </c>
      <c r="P28" s="139">
        <f t="shared" si="12"/>
        <v>0.58644511773392027</v>
      </c>
      <c r="Q28" s="112">
        <f t="shared" si="14"/>
        <v>19.233163904191759</v>
      </c>
      <c r="R28" s="105">
        <f t="shared" si="13"/>
        <v>0.61616847192475266</v>
      </c>
      <c r="T28" s="93"/>
    </row>
    <row r="29" spans="1:33" ht="10.4" customHeight="1" x14ac:dyDescent="0.3">
      <c r="A29" s="803"/>
      <c r="B29" s="108" t="s">
        <v>166</v>
      </c>
      <c r="C29" s="111">
        <f>'Visions person'!C40/7</f>
        <v>10.550513653774031</v>
      </c>
      <c r="D29" s="106">
        <f t="shared" si="8"/>
        <v>0.33958430411392698</v>
      </c>
      <c r="E29" s="111">
        <f>'Visions person'!E40/7</f>
        <v>9.415432474362623</v>
      </c>
      <c r="F29" s="106">
        <f t="shared" si="9"/>
        <v>0.30164005616227857</v>
      </c>
      <c r="G29" s="111">
        <f>'Visions person'!G40/7</f>
        <v>9.1002167141563728</v>
      </c>
      <c r="H29" s="106">
        <f t="shared" si="10"/>
        <v>0.31019382896892439</v>
      </c>
      <c r="I29" s="111">
        <f>'Visions person'!I40/7</f>
        <v>9.1365560392493279</v>
      </c>
      <c r="J29" s="106">
        <f t="shared" si="11"/>
        <v>0.29837902138450423</v>
      </c>
      <c r="K29" s="111">
        <f>'Visions person'!K40/7</f>
        <v>10.001641278471505</v>
      </c>
      <c r="L29" s="106">
        <f t="shared" si="11"/>
        <v>0.31033818574360356</v>
      </c>
      <c r="M29" s="111">
        <f>'Visions person'!M40/7</f>
        <v>8.600079066892663</v>
      </c>
      <c r="N29" s="106">
        <f t="shared" si="11"/>
        <v>0.31351568375296957</v>
      </c>
      <c r="O29" s="258">
        <f>'Visions person'!O40/7</f>
        <v>10.260333305039435</v>
      </c>
      <c r="P29" s="139">
        <f t="shared" si="12"/>
        <v>0.33024440891770351</v>
      </c>
      <c r="Q29" s="112">
        <f t="shared" si="14"/>
        <v>9.415432474362623</v>
      </c>
      <c r="R29" s="105">
        <f t="shared" si="13"/>
        <v>0.30164005616227857</v>
      </c>
      <c r="T29" s="93"/>
    </row>
    <row r="30" spans="1:33" ht="10.4" customHeight="1" x14ac:dyDescent="0.3">
      <c r="A30" s="803"/>
      <c r="B30" s="138" t="s">
        <v>128</v>
      </c>
      <c r="C30" s="111">
        <f>'Visions person'!C41/7</f>
        <v>0.12517266002063934</v>
      </c>
      <c r="D30" s="106">
        <f t="shared" si="8"/>
        <v>4.028872151830531E-3</v>
      </c>
      <c r="E30" s="111">
        <f>'Visions person'!E41/7</f>
        <v>0.12517266002063934</v>
      </c>
      <c r="F30" s="106">
        <f t="shared" si="9"/>
        <v>4.0101278726618885E-3</v>
      </c>
      <c r="G30" s="111">
        <f>'Visions person'!G41/7</f>
        <v>0.12517266002063934</v>
      </c>
      <c r="H30" s="106">
        <f t="shared" si="10"/>
        <v>4.2666881365173081E-3</v>
      </c>
      <c r="I30" s="111">
        <f>'Visions person'!I41/7</f>
        <v>0.12517266002063934</v>
      </c>
      <c r="J30" s="106">
        <f t="shared" si="11"/>
        <v>4.0878527577139735E-3</v>
      </c>
      <c r="K30" s="111">
        <f>'Visions person'!K41/7</f>
        <v>0.12517266002063934</v>
      </c>
      <c r="L30" s="106">
        <f t="shared" si="11"/>
        <v>3.8839481575010768E-3</v>
      </c>
      <c r="M30" s="111">
        <f>'Visions person'!M41/7</f>
        <v>0.12517266002063934</v>
      </c>
      <c r="N30" s="106">
        <f t="shared" si="11"/>
        <v>4.5631664300184198E-3</v>
      </c>
      <c r="O30" s="258">
        <f>'Visions person'!O41/7</f>
        <v>0.12517266002063934</v>
      </c>
      <c r="P30" s="139">
        <f t="shared" si="12"/>
        <v>4.028872151830531E-3</v>
      </c>
      <c r="Q30" s="112">
        <f t="shared" si="14"/>
        <v>0.12517266002063934</v>
      </c>
      <c r="R30" s="105">
        <f t="shared" si="13"/>
        <v>4.0101278726618885E-3</v>
      </c>
      <c r="T30" s="93"/>
      <c r="AA30" s="46"/>
      <c r="AB30" s="46"/>
    </row>
    <row r="31" spans="1:33" ht="10.4" customHeight="1" x14ac:dyDescent="0.3">
      <c r="A31" s="803"/>
      <c r="B31" s="108" t="s">
        <v>72</v>
      </c>
      <c r="C31" s="111">
        <f>SUM(C24:C30)</f>
        <v>31.068908444703744</v>
      </c>
      <c r="D31" s="106">
        <f>C31/$C$31</f>
        <v>1</v>
      </c>
      <c r="E31" s="111">
        <f>SUM(E24:E30)</f>
        <v>31.21413181708612</v>
      </c>
      <c r="F31" s="106">
        <f>SUM(F24:F30)</f>
        <v>1</v>
      </c>
      <c r="G31" s="111">
        <f>SUM(G24:G30)+0.000001</f>
        <v>29.337194567684467</v>
      </c>
      <c r="H31" s="106">
        <f t="shared" ref="H31:O31" si="15">SUM(H24:H30)</f>
        <v>0.99999996591357798</v>
      </c>
      <c r="I31" s="111">
        <f t="shared" si="15"/>
        <v>30.620638129500275</v>
      </c>
      <c r="J31" s="106">
        <f t="shared" si="15"/>
        <v>0.99999999999999989</v>
      </c>
      <c r="K31" s="111">
        <f t="shared" si="15"/>
        <v>32.228200517788359</v>
      </c>
      <c r="L31" s="106">
        <f t="shared" si="15"/>
        <v>1</v>
      </c>
      <c r="M31" s="111">
        <f t="shared" si="15"/>
        <v>27.43109679217509</v>
      </c>
      <c r="N31" s="106">
        <f t="shared" si="15"/>
        <v>1</v>
      </c>
      <c r="O31" s="258">
        <f t="shared" si="15"/>
        <v>31.068908444703744</v>
      </c>
      <c r="P31" s="139">
        <f t="shared" si="12"/>
        <v>1</v>
      </c>
      <c r="Q31" s="112">
        <f t="shared" si="14"/>
        <v>31.21413181708612</v>
      </c>
      <c r="R31" s="105">
        <f t="shared" si="13"/>
        <v>1</v>
      </c>
      <c r="T31" s="441"/>
      <c r="AA31" s="46"/>
      <c r="AB31" s="46"/>
    </row>
    <row r="32" spans="1:33" ht="10.4" customHeight="1" x14ac:dyDescent="0.3">
      <c r="A32" s="804"/>
      <c r="B32" s="460"/>
      <c r="C32" s="457"/>
      <c r="D32" s="461"/>
      <c r="E32" s="457"/>
      <c r="F32" s="461"/>
      <c r="G32" s="462"/>
      <c r="H32" s="461"/>
      <c r="I32" s="457"/>
      <c r="J32" s="461"/>
      <c r="K32" s="702"/>
      <c r="L32" s="702"/>
      <c r="M32" s="702"/>
      <c r="N32" s="702"/>
      <c r="O32" s="458"/>
      <c r="P32" s="463"/>
      <c r="Q32" s="459"/>
      <c r="R32" s="464"/>
      <c r="T32" s="93"/>
      <c r="AA32" s="46"/>
      <c r="AB32" s="46"/>
    </row>
    <row r="33" spans="1:31" ht="10.4" customHeight="1" x14ac:dyDescent="0.3">
      <c r="A33" s="861" t="s">
        <v>197</v>
      </c>
      <c r="B33" s="862"/>
      <c r="C33" s="872">
        <f>'Calibration Data'!$R$146</f>
        <v>4441600</v>
      </c>
      <c r="D33" s="873"/>
      <c r="E33" s="874">
        <f>'MoT Travel Input'!I21</f>
        <v>5922500</v>
      </c>
      <c r="F33" s="841"/>
      <c r="G33" s="874">
        <f>'MoT Travel Input'!J21</f>
        <v>5922500</v>
      </c>
      <c r="H33" s="841"/>
      <c r="I33" s="874">
        <f>'MoT Travel Input'!K21</f>
        <v>5922499.9999999991</v>
      </c>
      <c r="J33" s="841"/>
      <c r="K33" s="840">
        <f>'MoT Travel Input'!L21</f>
        <v>6729400</v>
      </c>
      <c r="L33" s="841"/>
      <c r="M33" s="842">
        <f>'MoT Travel Input'!M21</f>
        <v>6729400</v>
      </c>
      <c r="N33" s="841"/>
      <c r="O33" s="870"/>
      <c r="P33" s="871"/>
      <c r="Q33" s="838"/>
      <c r="R33" s="839"/>
      <c r="T33" s="93"/>
      <c r="AA33" s="46"/>
      <c r="AB33" s="46"/>
    </row>
    <row r="34" spans="1:31" ht="10.4" customHeight="1" thickBot="1" x14ac:dyDescent="0.35">
      <c r="A34" s="861" t="s">
        <v>129</v>
      </c>
      <c r="B34" s="862"/>
      <c r="C34" s="829">
        <f>(-0.0108*(C7+C8))+1.2682+Baseline!$C$25</f>
        <v>1.6482562797981899</v>
      </c>
      <c r="D34" s="830"/>
      <c r="E34" s="829">
        <f>(-0.0108*(E7+E8))+1.2682+Baseline!$C$25</f>
        <v>1.6534275628001425</v>
      </c>
      <c r="F34" s="830"/>
      <c r="G34" s="829">
        <f>(-0.0108*(G7+G8))+1.2682+Baseline!$C$25</f>
        <v>1.6170763671282047</v>
      </c>
      <c r="H34" s="830"/>
      <c r="I34" s="829">
        <f>(-0.0108*(I7+I8))+1.2682+Baseline!$C$25</f>
        <v>1.6400570817305968</v>
      </c>
      <c r="J34" s="830"/>
      <c r="K34" s="829">
        <f>(-0.0108*(K7+K8))+1.2682+Baseline!$C$25</f>
        <v>1.6497265612618512</v>
      </c>
      <c r="L34" s="830"/>
      <c r="M34" s="829">
        <f>(-0.0108*(M7+M8))+1.2682+Baseline!$C$25</f>
        <v>1.6597988242195738</v>
      </c>
      <c r="N34" s="830"/>
      <c r="O34" s="829">
        <f>(-0.0108*(O7+O8))+1.2682+Baseline!$C$25</f>
        <v>1.6165307174189161</v>
      </c>
      <c r="P34" s="830"/>
      <c r="Q34" s="829">
        <f t="shared" ref="Q34" si="16">IF(($Y$1=0),C34,IF(($Y$1=1),E34,IF(($Y$1=2),G34,IF(($Y$1=3),I34,IF(($Y$1=4),K34,IF(($Y$1=5),M34,IF(($Y$1=6),O34,"")))))))</f>
        <v>1.6534275628001425</v>
      </c>
      <c r="R34" s="830">
        <f t="shared" ref="R34" si="17">IF(($Y$1=0),D34,IF(($Y$1=1),F34,IF(($Y$1=2),H34,IF(($Y$1=3),J34,IF(($Y$1=4),L34,IF(($Y$1=5),N34,IF(($Y$1=6),P34,"")))))))</f>
        <v>0</v>
      </c>
      <c r="T34" s="91"/>
      <c r="U34" s="91"/>
      <c r="V34" s="91"/>
      <c r="W34" s="91"/>
      <c r="X34" s="91"/>
      <c r="Y34" s="91"/>
      <c r="Z34" s="91"/>
      <c r="AA34" s="91"/>
      <c r="AB34" s="46"/>
    </row>
    <row r="35" spans="1:31" s="322" customFormat="1" ht="10.4" customHeight="1" thickBot="1" x14ac:dyDescent="0.35">
      <c r="C35" s="868"/>
      <c r="D35" s="869"/>
      <c r="E35" s="869"/>
      <c r="F35" s="869"/>
      <c r="G35" s="869"/>
      <c r="H35" s="869"/>
      <c r="I35" s="869"/>
      <c r="J35" s="869"/>
      <c r="K35" s="695"/>
      <c r="L35" s="695"/>
      <c r="M35" s="695"/>
      <c r="N35" s="695"/>
      <c r="O35" s="845"/>
      <c r="P35" s="845"/>
      <c r="Q35" s="845"/>
      <c r="R35" s="846"/>
      <c r="T35" s="91"/>
      <c r="U35" s="91"/>
      <c r="V35" s="91"/>
      <c r="W35" s="91"/>
      <c r="X35" s="91"/>
      <c r="Y35" s="91"/>
      <c r="Z35" s="91"/>
      <c r="AA35" s="91"/>
      <c r="AB35" s="46"/>
      <c r="AE35" s="46"/>
    </row>
    <row r="36" spans="1:31" ht="10.4" customHeight="1" x14ac:dyDescent="0.25">
      <c r="A36" s="857" t="s">
        <v>155</v>
      </c>
      <c r="B36" s="858"/>
      <c r="C36" s="858"/>
      <c r="D36" s="858"/>
      <c r="E36" s="858"/>
      <c r="F36" s="858"/>
      <c r="G36" s="858"/>
      <c r="H36" s="858"/>
      <c r="I36" s="858"/>
      <c r="J36" s="858"/>
      <c r="K36" s="699"/>
      <c r="L36" s="699"/>
      <c r="M36" s="699"/>
      <c r="N36" s="699"/>
      <c r="O36" s="514"/>
      <c r="P36" s="510"/>
      <c r="Q36" s="506"/>
      <c r="R36" s="847">
        <v>1</v>
      </c>
      <c r="AA36" s="46"/>
      <c r="AB36" s="46"/>
    </row>
    <row r="37" spans="1:31" ht="13.4" customHeight="1" thickBot="1" x14ac:dyDescent="0.3">
      <c r="A37" s="859"/>
      <c r="B37" s="860"/>
      <c r="C37" s="860"/>
      <c r="D37" s="860"/>
      <c r="E37" s="860"/>
      <c r="F37" s="860"/>
      <c r="G37" s="860"/>
      <c r="H37" s="860"/>
      <c r="I37" s="860"/>
      <c r="J37" s="860"/>
      <c r="K37" s="700"/>
      <c r="L37" s="700"/>
      <c r="M37" s="700"/>
      <c r="N37" s="700"/>
      <c r="O37" s="513"/>
      <c r="P37" s="511"/>
      <c r="Q37" s="507"/>
      <c r="R37" s="848"/>
      <c r="AA37" s="46"/>
      <c r="AB37" s="46"/>
    </row>
    <row r="38" spans="1:31" ht="13.4" customHeight="1" thickBot="1" x14ac:dyDescent="0.4">
      <c r="A38" s="851" t="s">
        <v>293</v>
      </c>
      <c r="B38" s="852"/>
      <c r="C38" s="852"/>
      <c r="D38" s="852"/>
      <c r="E38" s="852"/>
      <c r="F38" s="852"/>
      <c r="G38" s="852"/>
      <c r="H38" s="852"/>
      <c r="I38" s="852"/>
      <c r="J38" s="852"/>
      <c r="K38" s="696"/>
      <c r="L38" s="696"/>
      <c r="M38" s="696"/>
      <c r="N38" s="696"/>
      <c r="O38" s="515"/>
      <c r="P38" s="512"/>
      <c r="Q38" s="508"/>
      <c r="R38" s="503">
        <v>1</v>
      </c>
      <c r="AA38" s="46"/>
      <c r="AB38" s="46"/>
    </row>
    <row r="39" spans="1:31" ht="14.15" customHeight="1" thickBot="1" x14ac:dyDescent="0.3">
      <c r="A39" s="853" t="s">
        <v>380</v>
      </c>
      <c r="B39" s="853"/>
      <c r="C39" s="853"/>
      <c r="D39" s="853"/>
      <c r="E39" s="853"/>
      <c r="F39" s="853"/>
      <c r="G39" s="853"/>
      <c r="H39" s="853"/>
      <c r="I39" s="853"/>
      <c r="J39" s="853"/>
      <c r="K39" s="697"/>
      <c r="L39" s="697"/>
      <c r="M39" s="697"/>
      <c r="N39" s="697"/>
      <c r="O39" s="516"/>
      <c r="P39" s="504"/>
      <c r="Q39" s="509"/>
      <c r="R39" s="505">
        <v>1</v>
      </c>
      <c r="AA39" s="46"/>
      <c r="AB39" s="46"/>
    </row>
    <row r="40" spans="1:31" ht="14.15" customHeight="1" thickBot="1" x14ac:dyDescent="0.4">
      <c r="A40" s="856" t="s">
        <v>381</v>
      </c>
      <c r="B40" s="856"/>
      <c r="C40" s="856"/>
      <c r="D40" s="856"/>
      <c r="E40" s="856"/>
      <c r="F40" s="856"/>
      <c r="G40" s="856"/>
      <c r="H40" s="856"/>
      <c r="I40" s="856"/>
      <c r="J40" s="856"/>
      <c r="K40" s="698"/>
      <c r="L40" s="698"/>
      <c r="M40" s="698"/>
      <c r="N40" s="698"/>
      <c r="O40" s="642"/>
      <c r="P40" s="643"/>
      <c r="Q40" s="508"/>
      <c r="R40" s="503">
        <v>0</v>
      </c>
      <c r="AA40" s="46"/>
      <c r="AB40" s="46"/>
    </row>
    <row r="41" spans="1:31" ht="18.75" customHeight="1" thickBot="1" x14ac:dyDescent="0.3">
      <c r="A41" s="853" t="s">
        <v>359</v>
      </c>
      <c r="B41" s="853"/>
      <c r="C41" s="853"/>
      <c r="D41" s="853"/>
      <c r="E41" s="853"/>
      <c r="F41" s="853"/>
      <c r="G41" s="853"/>
      <c r="H41" s="853"/>
      <c r="I41" s="853"/>
      <c r="J41" s="853"/>
      <c r="K41" s="697"/>
      <c r="L41" s="697"/>
      <c r="M41" s="697"/>
      <c r="N41" s="697"/>
      <c r="O41" s="516"/>
      <c r="P41" s="504"/>
      <c r="Q41" s="509"/>
      <c r="R41" s="505">
        <v>2</v>
      </c>
      <c r="AA41" s="46"/>
      <c r="AB41" s="46"/>
    </row>
    <row r="42" spans="1:31" s="545" customFormat="1" ht="18.75" customHeight="1" thickBot="1" x14ac:dyDescent="0.45">
      <c r="A42" s="843" t="s">
        <v>315</v>
      </c>
      <c r="B42" s="844"/>
      <c r="C42" s="854">
        <f>'air pollution'!C3</f>
        <v>5.9</v>
      </c>
      <c r="D42" s="855"/>
      <c r="E42" s="854">
        <f>IF(R41=2, C42, 'air pollution'!D3)</f>
        <v>5.9</v>
      </c>
      <c r="F42" s="855"/>
      <c r="G42" s="854">
        <f>IF(R41=2,C42,'air pollution'!E3)</f>
        <v>5.9</v>
      </c>
      <c r="H42" s="855"/>
      <c r="I42" s="854">
        <f>IF($R41=2,$C42,'air pollution'!F3)</f>
        <v>5.9</v>
      </c>
      <c r="J42" s="863"/>
      <c r="K42" s="854">
        <f>IF($R41=2,$C42,'air pollution'!G3)</f>
        <v>5.9</v>
      </c>
      <c r="L42" s="863"/>
      <c r="M42" s="854">
        <f>IF($R41=2,$C42,'air pollution'!H3)</f>
        <v>5.9</v>
      </c>
      <c r="N42" s="863"/>
      <c r="O42" s="854">
        <f>IF($R41=2,$C42,'air pollution'!I3)</f>
        <v>5.9</v>
      </c>
      <c r="P42" s="863"/>
      <c r="Q42" s="849">
        <f t="shared" ref="Q42" si="18">IF(($Y$1=0),C42,IF(($Y$1=1),E42,IF(($Y$1=2),G42,IF(($Y$1=3),I42,IF(($Y$1=4),K42,IF(($Y$1=5),M42,IF(($Y$1=6),O42,"")))))))</f>
        <v>5.9</v>
      </c>
      <c r="R42" s="850">
        <f t="shared" ref="R42" si="19">IF(($Y$1=0),D42,IF(($Y$1=1),F42,IF(($Y$1=2),H42,IF(($Y$1=3),J42,IF(($Y$1=4),L42,IF(($Y$1=5),N42,IF(($Y$1=6),P42,"")))))))</f>
        <v>0</v>
      </c>
      <c r="AA42" s="46"/>
      <c r="AB42" s="46"/>
      <c r="AE42" s="46"/>
    </row>
    <row r="43" spans="1:31" s="545" customFormat="1" ht="18.75" customHeight="1" x14ac:dyDescent="0.25">
      <c r="A43"/>
      <c r="B43"/>
      <c r="C43"/>
      <c r="D43"/>
      <c r="E43" s="322"/>
      <c r="F43"/>
      <c r="G43"/>
      <c r="H43"/>
      <c r="I43"/>
      <c r="J43"/>
      <c r="O43"/>
      <c r="P43"/>
      <c r="Q43"/>
      <c r="R43"/>
      <c r="AA43" s="46"/>
      <c r="AB43" s="46"/>
      <c r="AE43" s="46"/>
    </row>
    <row r="44" spans="1:31" ht="19.5" customHeight="1" x14ac:dyDescent="0.35">
      <c r="A44" s="322"/>
      <c r="B44" s="400"/>
      <c r="C44" s="400"/>
      <c r="D44" s="400"/>
      <c r="E44" s="400"/>
      <c r="F44" s="400"/>
      <c r="G44" s="400"/>
      <c r="H44" s="304"/>
      <c r="I44" s="304"/>
      <c r="J44" s="304"/>
      <c r="K44" s="304"/>
      <c r="L44" s="304"/>
      <c r="M44" s="304"/>
      <c r="N44" s="304"/>
      <c r="O44" s="304"/>
      <c r="P44" s="304"/>
      <c r="Q44" s="304"/>
      <c r="R44" s="263"/>
      <c r="S44" s="263"/>
      <c r="AA44" s="46"/>
    </row>
    <row r="45" spans="1:31" ht="16.5" customHeight="1" x14ac:dyDescent="0.3">
      <c r="B45" s="308"/>
      <c r="C45" s="309"/>
      <c r="D45" s="309"/>
      <c r="E45" s="309"/>
      <c r="F45" s="309"/>
      <c r="G45" s="309"/>
      <c r="H45" s="309"/>
      <c r="I45" s="309"/>
      <c r="J45" s="310"/>
      <c r="K45" s="310"/>
      <c r="L45" s="310"/>
      <c r="M45" s="310"/>
      <c r="N45" s="310"/>
      <c r="O45" s="309"/>
      <c r="P45" s="310"/>
      <c r="Q45" s="311"/>
      <c r="S45" s="263"/>
      <c r="T45" s="263"/>
      <c r="AA45" s="46"/>
    </row>
    <row r="46" spans="1:31" ht="12.75" customHeight="1" x14ac:dyDescent="0.35">
      <c r="A46" s="400"/>
      <c r="B46" s="308"/>
      <c r="C46" s="309"/>
      <c r="D46" s="309"/>
      <c r="E46" s="309"/>
      <c r="F46" s="309"/>
      <c r="G46" s="309"/>
      <c r="H46" s="309"/>
      <c r="I46" s="309"/>
      <c r="J46" s="310"/>
      <c r="K46" s="310"/>
      <c r="L46" s="310"/>
      <c r="M46" s="310"/>
      <c r="N46" s="310"/>
      <c r="O46" s="322"/>
      <c r="P46" s="310"/>
      <c r="Q46" s="311"/>
      <c r="S46" s="263"/>
      <c r="T46" s="322"/>
      <c r="AA46" s="46"/>
    </row>
    <row r="47" spans="1:31" ht="14.25" customHeight="1" x14ac:dyDescent="0.3">
      <c r="A47" s="308"/>
      <c r="E47" s="130"/>
      <c r="I47" s="186"/>
      <c r="S47" s="263"/>
      <c r="T47" s="517"/>
    </row>
    <row r="48" spans="1:31" ht="13.5" customHeight="1" x14ac:dyDescent="0.3">
      <c r="A48" s="308"/>
      <c r="B48" s="263"/>
      <c r="C48" s="312"/>
      <c r="S48" s="263"/>
      <c r="T48" s="263"/>
    </row>
    <row r="49" spans="1:31" ht="13.5" customHeight="1" x14ac:dyDescent="0.25">
      <c r="A49" s="130"/>
      <c r="B49" s="263"/>
      <c r="C49" s="267"/>
      <c r="AB49" s="46"/>
      <c r="AE49"/>
    </row>
    <row r="50" spans="1:31" ht="16.5" customHeight="1" x14ac:dyDescent="0.25">
      <c r="A50" s="312"/>
      <c r="B50" s="263"/>
      <c r="C50" s="268"/>
      <c r="AB50" s="46"/>
      <c r="AE50"/>
    </row>
    <row r="51" spans="1:31" ht="12.75" customHeight="1" x14ac:dyDescent="0.25">
      <c r="A51" s="265"/>
      <c r="B51" s="264"/>
      <c r="C51" s="268"/>
      <c r="AB51" s="46"/>
      <c r="AE51"/>
    </row>
    <row r="52" spans="1:31" ht="15.75" customHeight="1" x14ac:dyDescent="0.25">
      <c r="A52" s="130"/>
    </row>
    <row r="53" spans="1:31" ht="13.5" customHeight="1" x14ac:dyDescent="0.25">
      <c r="A53" s="130"/>
    </row>
    <row r="54" spans="1:31" ht="15.75" customHeight="1" x14ac:dyDescent="0.25">
      <c r="B54" s="1"/>
      <c r="C54" s="1"/>
      <c r="D54" s="1"/>
    </row>
    <row r="55" spans="1:31" ht="12.75" customHeight="1" x14ac:dyDescent="0.25">
      <c r="B55" s="1"/>
      <c r="C55" s="1"/>
      <c r="D55" s="1"/>
    </row>
    <row r="56" spans="1:31" x14ac:dyDescent="0.25">
      <c r="A56" s="1"/>
      <c r="B56" s="1"/>
      <c r="C56" s="1"/>
      <c r="D56" s="1"/>
    </row>
    <row r="57" spans="1:31" x14ac:dyDescent="0.25">
      <c r="A57" s="1"/>
      <c r="B57" s="1"/>
      <c r="C57" s="1"/>
      <c r="D57" s="1"/>
    </row>
    <row r="58" spans="1:31" x14ac:dyDescent="0.25">
      <c r="A58" s="1"/>
      <c r="B58" s="1"/>
      <c r="C58" s="1"/>
      <c r="D58" s="1"/>
    </row>
    <row r="59" spans="1:31" x14ac:dyDescent="0.25">
      <c r="A59" s="1"/>
      <c r="B59" s="1"/>
      <c r="C59" s="1"/>
      <c r="D59" s="1"/>
    </row>
    <row r="60" spans="1:31" x14ac:dyDescent="0.25">
      <c r="A60" s="1"/>
      <c r="B60" s="1"/>
      <c r="C60" s="1"/>
      <c r="D60" s="1"/>
    </row>
    <row r="61" spans="1:31" x14ac:dyDescent="0.25">
      <c r="A61" s="1"/>
      <c r="B61" s="1"/>
      <c r="C61" s="1"/>
      <c r="D61" s="1"/>
    </row>
    <row r="62" spans="1:31" x14ac:dyDescent="0.25">
      <c r="A62" s="1"/>
      <c r="B62" s="1"/>
      <c r="C62" s="1"/>
      <c r="D62" s="1"/>
    </row>
    <row r="63" spans="1:31" x14ac:dyDescent="0.25">
      <c r="A63" s="99"/>
    </row>
    <row r="64" spans="1:31" x14ac:dyDescent="0.25">
      <c r="A64" s="1"/>
    </row>
    <row r="93" spans="21:24" x14ac:dyDescent="0.25">
      <c r="U93" s="545"/>
      <c r="V93" s="545"/>
      <c r="W93" s="545"/>
      <c r="X93" s="545"/>
    </row>
    <row r="119" spans="4:6" x14ac:dyDescent="0.25">
      <c r="D119" s="73"/>
      <c r="F119" s="443"/>
    </row>
  </sheetData>
  <mergeCells count="134">
    <mergeCell ref="AI4:AJ5"/>
    <mergeCell ref="C19:D19"/>
    <mergeCell ref="A33:B33"/>
    <mergeCell ref="C35:D35"/>
    <mergeCell ref="E35:F35"/>
    <mergeCell ref="G35:H35"/>
    <mergeCell ref="I35:J35"/>
    <mergeCell ref="O22:P22"/>
    <mergeCell ref="G21:H21"/>
    <mergeCell ref="I20:J20"/>
    <mergeCell ref="O33:P33"/>
    <mergeCell ref="O21:P21"/>
    <mergeCell ref="E20:F20"/>
    <mergeCell ref="I21:J21"/>
    <mergeCell ref="C33:D33"/>
    <mergeCell ref="C20:D20"/>
    <mergeCell ref="C22:D22"/>
    <mergeCell ref="A24:A32"/>
    <mergeCell ref="C21:D21"/>
    <mergeCell ref="E33:F33"/>
    <mergeCell ref="G33:H33"/>
    <mergeCell ref="I33:J33"/>
    <mergeCell ref="G20:H20"/>
    <mergeCell ref="K34:L34"/>
    <mergeCell ref="A42:B42"/>
    <mergeCell ref="C34:D34"/>
    <mergeCell ref="E34:F34"/>
    <mergeCell ref="Q35:R35"/>
    <mergeCell ref="R36:R37"/>
    <mergeCell ref="Q34:R34"/>
    <mergeCell ref="G34:H34"/>
    <mergeCell ref="I34:J34"/>
    <mergeCell ref="Q42:R42"/>
    <mergeCell ref="A38:J38"/>
    <mergeCell ref="A41:J41"/>
    <mergeCell ref="C42:D42"/>
    <mergeCell ref="A39:J39"/>
    <mergeCell ref="A40:J40"/>
    <mergeCell ref="O35:P35"/>
    <mergeCell ref="O34:P34"/>
    <mergeCell ref="A36:J37"/>
    <mergeCell ref="A34:B34"/>
    <mergeCell ref="E42:F42"/>
    <mergeCell ref="G42:H42"/>
    <mergeCell ref="I42:J42"/>
    <mergeCell ref="O42:P42"/>
    <mergeCell ref="K42:L42"/>
    <mergeCell ref="M42:N42"/>
    <mergeCell ref="Q19:R19"/>
    <mergeCell ref="G19:H19"/>
    <mergeCell ref="O19:P19"/>
    <mergeCell ref="I19:J19"/>
    <mergeCell ref="Q22:R22"/>
    <mergeCell ref="O20:P20"/>
    <mergeCell ref="Q33:R33"/>
    <mergeCell ref="E21:F21"/>
    <mergeCell ref="E22:F22"/>
    <mergeCell ref="G22:H22"/>
    <mergeCell ref="I22:J22"/>
    <mergeCell ref="E19:F19"/>
    <mergeCell ref="Q21:R21"/>
    <mergeCell ref="Q20:R20"/>
    <mergeCell ref="K19:L19"/>
    <mergeCell ref="K20:L20"/>
    <mergeCell ref="K21:L21"/>
    <mergeCell ref="K22:L22"/>
    <mergeCell ref="M19:N19"/>
    <mergeCell ref="M20:N20"/>
    <mergeCell ref="M21:N21"/>
    <mergeCell ref="M22:N22"/>
    <mergeCell ref="K33:L33"/>
    <mergeCell ref="M33:N33"/>
    <mergeCell ref="M34:N34"/>
    <mergeCell ref="Y1:Z2"/>
    <mergeCell ref="G6:H6"/>
    <mergeCell ref="C17:D17"/>
    <mergeCell ref="A4:R5"/>
    <mergeCell ref="E17:F17"/>
    <mergeCell ref="E18:F18"/>
    <mergeCell ref="E6:F6"/>
    <mergeCell ref="O18:P18"/>
    <mergeCell ref="I17:J17"/>
    <mergeCell ref="G17:H17"/>
    <mergeCell ref="I18:J18"/>
    <mergeCell ref="O17:P17"/>
    <mergeCell ref="I6:J6"/>
    <mergeCell ref="C6:D6"/>
    <mergeCell ref="O6:P6"/>
    <mergeCell ref="E16:F16"/>
    <mergeCell ref="G18:H18"/>
    <mergeCell ref="Y6:Z6"/>
    <mergeCell ref="Y14:Z14"/>
    <mergeCell ref="W14:X14"/>
    <mergeCell ref="U6:V6"/>
    <mergeCell ref="K6:L6"/>
    <mergeCell ref="M6:N6"/>
    <mergeCell ref="K16:L16"/>
    <mergeCell ref="AA14:AB14"/>
    <mergeCell ref="O16:P16"/>
    <mergeCell ref="G16:H16"/>
    <mergeCell ref="I16:J16"/>
    <mergeCell ref="C16:D16"/>
    <mergeCell ref="C18:D18"/>
    <mergeCell ref="AE6:AF6"/>
    <mergeCell ref="Q18:R18"/>
    <mergeCell ref="K17:L17"/>
    <mergeCell ref="K18:L18"/>
    <mergeCell ref="M16:N16"/>
    <mergeCell ref="M17:N17"/>
    <mergeCell ref="M18:N18"/>
    <mergeCell ref="AA1:AF2"/>
    <mergeCell ref="A7:A15"/>
    <mergeCell ref="T1:X2"/>
    <mergeCell ref="A1:R2"/>
    <mergeCell ref="AG14:AH14"/>
    <mergeCell ref="AI6:AJ6"/>
    <mergeCell ref="AI14:AJ14"/>
    <mergeCell ref="Q17:R17"/>
    <mergeCell ref="V17:X18"/>
    <mergeCell ref="Q6:R6"/>
    <mergeCell ref="W6:X6"/>
    <mergeCell ref="Y17:Z18"/>
    <mergeCell ref="Q16:R16"/>
    <mergeCell ref="AA17:AC18"/>
    <mergeCell ref="AD17:AE18"/>
    <mergeCell ref="U14:V14"/>
    <mergeCell ref="AC14:AD14"/>
    <mergeCell ref="AE14:AF14"/>
    <mergeCell ref="AF17:AG18"/>
    <mergeCell ref="T4:AH5"/>
    <mergeCell ref="A16:A23"/>
    <mergeCell ref="AG6:AH6"/>
    <mergeCell ref="AC6:AD6"/>
    <mergeCell ref="AA6:AB6"/>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zoomScale="110" zoomScaleNormal="110" workbookViewId="0"/>
  </sheetViews>
  <sheetFormatPr defaultColWidth="9.1796875" defaultRowHeight="12" x14ac:dyDescent="0.3"/>
  <cols>
    <col min="1" max="2" width="3.81640625" style="257" bestFit="1" customWidth="1"/>
    <col min="3" max="3" width="6" style="257" bestFit="1" customWidth="1"/>
    <col min="4" max="4" width="2" style="257" bestFit="1" customWidth="1"/>
    <col min="5" max="6" width="3" style="257" bestFit="1" customWidth="1"/>
    <col min="7" max="7" width="4.453125" style="257" bestFit="1" customWidth="1"/>
    <col min="8" max="8" width="4" style="257" bestFit="1" customWidth="1"/>
    <col min="9" max="9" width="3.453125" style="388" bestFit="1" customWidth="1"/>
    <col min="10" max="12" width="4.453125" style="388" bestFit="1" customWidth="1"/>
    <col min="13" max="13" width="5.453125" style="388" bestFit="1" customWidth="1"/>
    <col min="14" max="14" width="5" style="257" bestFit="1" customWidth="1"/>
    <col min="15" max="24" width="3.453125" style="257" bestFit="1" customWidth="1"/>
    <col min="25" max="25" width="6" style="257" bestFit="1" customWidth="1"/>
    <col min="26" max="26" width="8" style="386" bestFit="1" customWidth="1"/>
    <col min="27" max="31" width="3" style="257" bestFit="1" customWidth="1"/>
    <col min="32" max="36" width="4" style="257" bestFit="1" customWidth="1"/>
    <col min="37" max="41" width="5" style="386" bestFit="1" customWidth="1"/>
    <col min="42" max="42" width="6.7265625" style="385" bestFit="1" customWidth="1"/>
    <col min="43" max="44" width="5.453125" style="257" bestFit="1" customWidth="1"/>
    <col min="45" max="45" width="6.26953125" style="257" bestFit="1" customWidth="1"/>
    <col min="46" max="16384" width="9.1796875" style="257"/>
  </cols>
  <sheetData>
    <row r="1" spans="1:45" ht="37.4" customHeight="1" x14ac:dyDescent="0.3">
      <c r="A1" s="364"/>
      <c r="B1" s="364"/>
      <c r="C1" s="364"/>
      <c r="D1" s="1072" t="s">
        <v>56</v>
      </c>
      <c r="E1" s="1073"/>
      <c r="F1" s="1073"/>
      <c r="G1" s="1073"/>
      <c r="H1" s="1074"/>
      <c r="I1" s="1075" t="s">
        <v>55</v>
      </c>
      <c r="J1" s="1075"/>
      <c r="K1" s="1075"/>
      <c r="L1" s="1075"/>
      <c r="M1" s="1075"/>
      <c r="N1" s="365"/>
      <c r="O1" s="1069" t="s">
        <v>54</v>
      </c>
      <c r="P1" s="1069"/>
      <c r="Q1" s="1069"/>
      <c r="R1" s="1069"/>
      <c r="S1" s="1069"/>
      <c r="T1" s="1069" t="s">
        <v>52</v>
      </c>
      <c r="U1" s="1069"/>
      <c r="V1" s="1069"/>
      <c r="W1" s="1069"/>
      <c r="X1" s="1069"/>
      <c r="Y1" s="366" t="s">
        <v>74</v>
      </c>
      <c r="Z1" s="367" t="s">
        <v>73</v>
      </c>
      <c r="AA1" s="1069" t="s">
        <v>51</v>
      </c>
      <c r="AB1" s="1069"/>
      <c r="AC1" s="1069"/>
      <c r="AD1" s="1069"/>
      <c r="AE1" s="1069"/>
      <c r="AF1" s="1069" t="s">
        <v>50</v>
      </c>
      <c r="AG1" s="1069"/>
      <c r="AH1" s="1069"/>
      <c r="AI1" s="1069"/>
      <c r="AJ1" s="1069"/>
      <c r="AK1" s="1070" t="s">
        <v>49</v>
      </c>
      <c r="AL1" s="1070"/>
      <c r="AM1" s="1070"/>
      <c r="AN1" s="1070"/>
      <c r="AO1" s="1070"/>
      <c r="AP1" s="1071" t="s">
        <v>48</v>
      </c>
      <c r="AQ1" s="1071"/>
      <c r="AR1" s="1071"/>
      <c r="AS1" s="1071"/>
    </row>
    <row r="2" spans="1:45" s="371" customFormat="1" ht="27.65" customHeight="1" x14ac:dyDescent="0.3">
      <c r="A2" s="365" t="s">
        <v>47</v>
      </c>
      <c r="B2" s="365" t="s">
        <v>46</v>
      </c>
      <c r="C2" s="365" t="s">
        <v>45</v>
      </c>
      <c r="D2" s="366">
        <v>1</v>
      </c>
      <c r="E2" s="366">
        <v>2</v>
      </c>
      <c r="F2" s="366">
        <v>3</v>
      </c>
      <c r="G2" s="366">
        <v>4</v>
      </c>
      <c r="H2" s="366">
        <v>5</v>
      </c>
      <c r="I2" s="387">
        <v>1</v>
      </c>
      <c r="J2" s="387">
        <v>2</v>
      </c>
      <c r="K2" s="387">
        <v>3</v>
      </c>
      <c r="L2" s="387">
        <v>4</v>
      </c>
      <c r="M2" s="387">
        <v>5</v>
      </c>
      <c r="N2" s="365" t="s">
        <v>44</v>
      </c>
      <c r="O2" s="365">
        <v>1</v>
      </c>
      <c r="P2" s="365">
        <v>2</v>
      </c>
      <c r="Q2" s="365">
        <v>3</v>
      </c>
      <c r="R2" s="365">
        <v>4</v>
      </c>
      <c r="S2" s="365">
        <v>5</v>
      </c>
      <c r="T2" s="366">
        <v>1</v>
      </c>
      <c r="U2" s="366">
        <v>2</v>
      </c>
      <c r="V2" s="366">
        <v>3</v>
      </c>
      <c r="W2" s="366">
        <v>4</v>
      </c>
      <c r="X2" s="366">
        <v>5</v>
      </c>
      <c r="Y2" s="365"/>
      <c r="Z2" s="367"/>
      <c r="AA2" s="366">
        <v>1</v>
      </c>
      <c r="AB2" s="366">
        <v>2</v>
      </c>
      <c r="AC2" s="366">
        <v>3</v>
      </c>
      <c r="AD2" s="366">
        <v>4</v>
      </c>
      <c r="AE2" s="366">
        <v>5</v>
      </c>
      <c r="AF2" s="366">
        <v>1</v>
      </c>
      <c r="AG2" s="366">
        <v>2</v>
      </c>
      <c r="AH2" s="366">
        <v>3</v>
      </c>
      <c r="AI2" s="366">
        <v>4</v>
      </c>
      <c r="AJ2" s="366">
        <v>5</v>
      </c>
      <c r="AK2" s="366">
        <v>1</v>
      </c>
      <c r="AL2" s="366">
        <v>2</v>
      </c>
      <c r="AM2" s="366">
        <v>3</v>
      </c>
      <c r="AN2" s="366">
        <v>4</v>
      </c>
      <c r="AO2" s="366">
        <v>5</v>
      </c>
      <c r="AP2" s="369" t="s">
        <v>43</v>
      </c>
      <c r="AQ2" s="366" t="s">
        <v>42</v>
      </c>
      <c r="AR2" s="366" t="s">
        <v>41</v>
      </c>
      <c r="AS2" s="366" t="s">
        <v>28</v>
      </c>
    </row>
    <row r="3" spans="1:45" ht="11.15" customHeight="1" x14ac:dyDescent="0.3">
      <c r="A3" s="364">
        <v>1</v>
      </c>
      <c r="B3" s="364">
        <v>1</v>
      </c>
      <c r="C3" s="364" t="s">
        <v>2</v>
      </c>
      <c r="D3" s="372"/>
      <c r="E3" s="372"/>
      <c r="F3" s="372"/>
      <c r="G3" s="372"/>
      <c r="H3" s="372"/>
      <c r="I3" s="373"/>
      <c r="J3" s="373"/>
      <c r="K3" s="373"/>
      <c r="L3" s="373"/>
      <c r="M3" s="373"/>
      <c r="N3" s="373"/>
      <c r="O3" s="373"/>
      <c r="P3" s="373"/>
      <c r="Q3" s="373"/>
      <c r="R3" s="373"/>
      <c r="S3" s="373"/>
      <c r="T3" s="374"/>
      <c r="U3" s="374"/>
      <c r="V3" s="374"/>
      <c r="W3" s="374"/>
      <c r="X3" s="374"/>
      <c r="Y3" s="374"/>
      <c r="Z3" s="376"/>
      <c r="AA3" s="373"/>
      <c r="AB3" s="373"/>
      <c r="AC3" s="373"/>
      <c r="AD3" s="374"/>
      <c r="AE3" s="374"/>
      <c r="AF3" s="373"/>
      <c r="AG3" s="373"/>
      <c r="AH3" s="373"/>
      <c r="AI3" s="374"/>
      <c r="AJ3" s="374"/>
      <c r="AK3" s="372"/>
      <c r="AL3" s="372"/>
      <c r="AM3" s="372"/>
      <c r="AN3" s="376"/>
      <c r="AO3" s="376"/>
      <c r="AP3" s="372"/>
      <c r="AQ3" s="372"/>
      <c r="AR3" s="372"/>
      <c r="AS3" s="372"/>
    </row>
    <row r="4" spans="1:45" ht="11.15" customHeight="1" x14ac:dyDescent="0.3">
      <c r="A4" s="364">
        <v>1</v>
      </c>
      <c r="B4" s="364">
        <v>1</v>
      </c>
      <c r="C4" s="364" t="s">
        <v>40</v>
      </c>
      <c r="D4" s="372"/>
      <c r="E4" s="372"/>
      <c r="F4" s="372"/>
      <c r="G4" s="372"/>
      <c r="H4" s="372"/>
      <c r="I4" s="373"/>
      <c r="J4" s="373"/>
      <c r="K4" s="373"/>
      <c r="L4" s="373"/>
      <c r="M4" s="373"/>
      <c r="N4" s="373"/>
      <c r="O4" s="373"/>
      <c r="P4" s="373"/>
      <c r="Q4" s="373"/>
      <c r="R4" s="373"/>
      <c r="S4" s="373"/>
      <c r="T4" s="374"/>
      <c r="U4" s="374"/>
      <c r="V4" s="374"/>
      <c r="W4" s="374"/>
      <c r="X4" s="374"/>
      <c r="Y4" s="374"/>
      <c r="Z4" s="376"/>
      <c r="AA4" s="373"/>
      <c r="AB4" s="373"/>
      <c r="AC4" s="373"/>
      <c r="AD4" s="374"/>
      <c r="AE4" s="374"/>
      <c r="AF4" s="373"/>
      <c r="AG4" s="373"/>
      <c r="AH4" s="373"/>
      <c r="AI4" s="374"/>
      <c r="AJ4" s="374"/>
      <c r="AK4" s="372"/>
      <c r="AL4" s="372"/>
      <c r="AM4" s="372"/>
      <c r="AN4" s="376"/>
      <c r="AO4" s="376"/>
      <c r="AP4" s="372"/>
      <c r="AQ4" s="372"/>
      <c r="AR4" s="372"/>
      <c r="AS4" s="372"/>
    </row>
    <row r="5" spans="1:45" ht="11.15" customHeight="1" x14ac:dyDescent="0.3">
      <c r="A5" s="364">
        <v>1</v>
      </c>
      <c r="B5" s="364">
        <v>1</v>
      </c>
      <c r="C5" s="364" t="s">
        <v>39</v>
      </c>
      <c r="D5" s="372">
        <f>Scenario!AN21</f>
        <v>0.37339203160199785</v>
      </c>
      <c r="E5" s="372">
        <f>Scenario!AO21</f>
        <v>0.89041070258950428</v>
      </c>
      <c r="F5" s="372">
        <f>Scenario!AP21</f>
        <v>1.6255263073807924</v>
      </c>
      <c r="G5" s="372">
        <f>Scenario!AQ21</f>
        <v>2.9675471872727468</v>
      </c>
      <c r="H5" s="372">
        <f>Scenario!AR21</f>
        <v>7.0765724824131357</v>
      </c>
      <c r="I5" s="373">
        <f t="shared" ref="I5:I10" si="0">IF(D5&gt;2.5,D5,0.1)</f>
        <v>0.1</v>
      </c>
      <c r="J5" s="373">
        <f t="shared" ref="J5:M18" si="1">IF(E5&gt;2.5,E5,0.1)</f>
        <v>0.1</v>
      </c>
      <c r="K5" s="373">
        <f t="shared" si="1"/>
        <v>0.1</v>
      </c>
      <c r="L5" s="373">
        <f t="shared" si="1"/>
        <v>2.9675471872727468</v>
      </c>
      <c r="M5" s="373">
        <f t="shared" si="1"/>
        <v>7.0765724824131357</v>
      </c>
      <c r="N5" s="380">
        <f>'Phy activity RRs'!$M$4</f>
        <v>0.94277975044398532</v>
      </c>
      <c r="O5" s="373">
        <f>IF(('user page'!$R$36=0),$N5^(I5^0.25),IF(('user page'!$R$36=1),$N5^(I5^0.5),IF(('user page'!$R$36=2),$N5^(I5^0.375),IF(('user page'!$R$36=4),$N5^(I5),IF(('user page'!$R$36=3),$N5^(LN(1+I5)),"")))))</f>
        <v>0.98153956255603969</v>
      </c>
      <c r="P5" s="373">
        <f>IF(('user page'!$R$36=0),$N5^(J5^0.25),IF(('user page'!$R$36=1),$N5^(J5^0.5),IF(('user page'!$R$36=2),$N5^(J5^0.375),IF(('user page'!$R$36=4),$N5^(J5),IF(('user page'!$R$36=3),$N5^(LN(1+J5)),"")))))</f>
        <v>0.98153956255603969</v>
      </c>
      <c r="Q5" s="373">
        <f>IF(('user page'!$R$36=0),$N5^(K5^0.25),IF(('user page'!$R$36=1),$N5^(K5^0.5),IF(('user page'!$R$36=2),$N5^(K5^0.375),IF(('user page'!$R$36=4),$N5^(K5),IF(('user page'!$R$36=3),$N5^(LN(1+K5)),"")))))</f>
        <v>0.98153956255603969</v>
      </c>
      <c r="R5" s="373">
        <f>IF(('user page'!$R$36=0),$N5^(L5^0.25),IF(('user page'!$R$36=1),$N5^(L5^0.5),IF(('user page'!$R$36=2),$N5^(L5^0.375),IF(('user page'!$R$36=4),$N5^(L5),IF(('user page'!$R$36=3),$N5^(LN(1+L5)),"")))))</f>
        <v>0.90347810165360398</v>
      </c>
      <c r="S5" s="373">
        <f>IF(('user page'!$R$36=0),$N5^(M5^0.25),IF(('user page'!$R$36=1),$N5^(M5^0.5),IF(('user page'!$R$36=2),$N5^(M5^0.375),IF(('user page'!$R$36=4),$N5^(M5),IF(('user page'!$R$36=3),$N5^(LN(1+M5)),"")))))</f>
        <v>0.8549221644120174</v>
      </c>
      <c r="T5" s="374">
        <f t="shared" ref="T5:X10" si="2">O5/$O5</f>
        <v>1</v>
      </c>
      <c r="U5" s="374">
        <f t="shared" si="2"/>
        <v>1</v>
      </c>
      <c r="V5" s="374">
        <f t="shared" si="2"/>
        <v>1</v>
      </c>
      <c r="W5" s="374">
        <f t="shared" si="2"/>
        <v>0.92047038766409495</v>
      </c>
      <c r="X5" s="374">
        <f t="shared" si="2"/>
        <v>0.87100122809691305</v>
      </c>
      <c r="Y5" s="377">
        <f>1-Z5</f>
        <v>-1.1754791617142324E-3</v>
      </c>
      <c r="Z5" s="381">
        <f t="shared" ref="Z5:Z10" si="3">SUM(O5:S5)/SUM(O22:S22)</f>
        <v>1.0011754791617142</v>
      </c>
      <c r="AA5" s="372">
        <f>(GBDNZ!$E107*Z5)/($T5+$W5+$X5+U5+V5)</f>
        <v>0.29917995332288239</v>
      </c>
      <c r="AB5" s="376">
        <f t="shared" ref="AB5:AE10" si="4">$AA5*U5</f>
        <v>0.29917995332288239</v>
      </c>
      <c r="AC5" s="376">
        <f t="shared" si="4"/>
        <v>0.29917995332288239</v>
      </c>
      <c r="AD5" s="376">
        <f t="shared" si="4"/>
        <v>0.27538628761643941</v>
      </c>
      <c r="AE5" s="376">
        <f t="shared" si="4"/>
        <v>0.26058610676620769</v>
      </c>
      <c r="AF5" s="372">
        <f>Z5*GBDNZ!$F107/($T5+$W5+$X5+U5+V5)</f>
        <v>18.480608235206184</v>
      </c>
      <c r="AG5" s="376">
        <f t="shared" ref="AG5:AJ10" si="5">$AF5*U5</f>
        <v>18.480608235206184</v>
      </c>
      <c r="AH5" s="376">
        <f t="shared" si="5"/>
        <v>18.480608235206184</v>
      </c>
      <c r="AI5" s="376">
        <f t="shared" si="5"/>
        <v>17.0108526265285</v>
      </c>
      <c r="AJ5" s="376">
        <f t="shared" si="5"/>
        <v>16.096632468842511</v>
      </c>
      <c r="AK5" s="372">
        <f>GBDNZ!$G107*$Z5/($T5+$W5+$X5+U5+V5)</f>
        <v>71.228874062194251</v>
      </c>
      <c r="AL5" s="376">
        <f t="shared" ref="AL5:AO10" si="6">$AK5*U5</f>
        <v>71.228874062194251</v>
      </c>
      <c r="AM5" s="376">
        <f t="shared" si="6"/>
        <v>71.228874062194251</v>
      </c>
      <c r="AN5" s="376">
        <f t="shared" si="6"/>
        <v>65.564069320904935</v>
      </c>
      <c r="AO5" s="376">
        <f t="shared" si="6"/>
        <v>62.04043678413155</v>
      </c>
      <c r="AP5" s="372">
        <f>AA5+AB5+AE5+AC5+AD5-AC22-AD22-AA22-AB22-AE22</f>
        <v>1.6830853512940225E-3</v>
      </c>
      <c r="AQ5" s="372">
        <f>AF5+AG5+AJ5+AH5+AI5-AH22-AI22-AG22-AJ22-AF22</f>
        <v>0.10396565898955146</v>
      </c>
      <c r="AR5" s="372">
        <f>AK5+AL5+AO5-AK22+AM5+AN5-AM22-AN22-AL22-AO22</f>
        <v>0.40070958361924625</v>
      </c>
      <c r="AS5" s="372">
        <f t="shared" ref="AS5:AS10" si="7">AQ5+AR5</f>
        <v>0.5046752426087977</v>
      </c>
    </row>
    <row r="6" spans="1:45" ht="11.15" customHeight="1" x14ac:dyDescent="0.3">
      <c r="A6" s="364">
        <v>1</v>
      </c>
      <c r="B6" s="364">
        <v>1</v>
      </c>
      <c r="C6" s="364" t="s">
        <v>38</v>
      </c>
      <c r="D6" s="372">
        <f>Scenario!AN22</f>
        <v>0.24273184972454737</v>
      </c>
      <c r="E6" s="372">
        <f>Scenario!AO22</f>
        <v>0.57883141192595211</v>
      </c>
      <c r="F6" s="372">
        <f>Scenario!AP22</f>
        <v>1.0567097687478921</v>
      </c>
      <c r="G6" s="372">
        <f>Scenario!AQ22</f>
        <v>1.9291204871757561</v>
      </c>
      <c r="H6" s="372">
        <f>Scenario!AR22</f>
        <v>4.600284374029961</v>
      </c>
      <c r="I6" s="373">
        <f t="shared" si="0"/>
        <v>0.1</v>
      </c>
      <c r="J6" s="373">
        <f t="shared" si="1"/>
        <v>0.1</v>
      </c>
      <c r="K6" s="373">
        <f t="shared" si="1"/>
        <v>0.1</v>
      </c>
      <c r="L6" s="373">
        <f t="shared" si="1"/>
        <v>0.1</v>
      </c>
      <c r="M6" s="373">
        <f t="shared" si="1"/>
        <v>4.600284374029961</v>
      </c>
      <c r="N6" s="380">
        <f>'Phy activity RRs'!$M$4</f>
        <v>0.94277975044398532</v>
      </c>
      <c r="O6" s="373">
        <f>IF(('user page'!$R$36=0),$N6^(I6^0.25),IF(('user page'!$R$36=1),$N6^(I6^0.5),IF(('user page'!$R$36=2),$N6^(I6^0.375),IF(('user page'!$R$36=4),$N6^(I6),IF(('user page'!$R$36=3),$N6^(LN(1+I6)),"")))))</f>
        <v>0.98153956255603969</v>
      </c>
      <c r="P6" s="373">
        <f>IF(('user page'!$R$36=0),$N6^(J6^0.25),IF(('user page'!$R$36=1),$N6^(J6^0.5),IF(('user page'!$R$36=2),$N6^(J6^0.375),IF(('user page'!$R$36=4),$N6^(J6),IF(('user page'!$R$36=3),$N6^(LN(1+J6)),"")))))</f>
        <v>0.98153956255603969</v>
      </c>
      <c r="Q6" s="373">
        <f>IF(('user page'!$R$36=0),$N6^(K6^0.25),IF(('user page'!$R$36=1),$N6^(K6^0.5),IF(('user page'!$R$36=2),$N6^(K6^0.375),IF(('user page'!$R$36=4),$N6^(K6),IF(('user page'!$R$36=3),$N6^(LN(1+K6)),"")))))</f>
        <v>0.98153956255603969</v>
      </c>
      <c r="R6" s="373">
        <f>IF(('user page'!$R$36=0),$N6^(L6^0.25),IF(('user page'!$R$36=1),$N6^(L6^0.5),IF(('user page'!$R$36=2),$N6^(L6^0.375),IF(('user page'!$R$36=4),$N6^(L6),IF(('user page'!$R$36=3),$N6^(LN(1+L6)),"")))))</f>
        <v>0.98153956255603969</v>
      </c>
      <c r="S6" s="373">
        <f>IF(('user page'!$R$36=0),$N6^(M6^0.25),IF(('user page'!$R$36=1),$N6^(M6^0.5),IF(('user page'!$R$36=2),$N6^(M6^0.375),IF(('user page'!$R$36=4),$N6^(M6),IF(('user page'!$R$36=3),$N6^(LN(1+M6)),"")))))</f>
        <v>0.88128097661395444</v>
      </c>
      <c r="T6" s="374">
        <f t="shared" si="2"/>
        <v>1</v>
      </c>
      <c r="U6" s="374">
        <f t="shared" si="2"/>
        <v>1</v>
      </c>
      <c r="V6" s="374">
        <f t="shared" si="2"/>
        <v>1</v>
      </c>
      <c r="W6" s="374">
        <f t="shared" si="2"/>
        <v>1</v>
      </c>
      <c r="X6" s="374">
        <f t="shared" si="2"/>
        <v>0.89785578720739423</v>
      </c>
      <c r="Y6" s="377">
        <f t="shared" ref="Y6:Y18" si="8">1-Z6</f>
        <v>-3.5989241148404183E-4</v>
      </c>
      <c r="Z6" s="381">
        <f t="shared" si="3"/>
        <v>1.000359892411484</v>
      </c>
      <c r="AA6" s="372">
        <f>(GBDNZ!$E108*Z6)/($T6+$W6+$X6+U6+V6)</f>
        <v>1.3534938474352924</v>
      </c>
      <c r="AB6" s="376">
        <f t="shared" si="4"/>
        <v>1.3534938474352924</v>
      </c>
      <c r="AC6" s="376">
        <f t="shared" si="4"/>
        <v>1.3534938474352924</v>
      </c>
      <c r="AD6" s="376">
        <f t="shared" si="4"/>
        <v>1.3534938474352924</v>
      </c>
      <c r="AE6" s="376">
        <f t="shared" si="4"/>
        <v>1.2152422838693793</v>
      </c>
      <c r="AF6" s="372">
        <f>Z6*GBDNZ!$F108/($T6+$W6+$X6+U6+V6)</f>
        <v>64.537317696005061</v>
      </c>
      <c r="AG6" s="376">
        <f t="shared" si="5"/>
        <v>64.537317696005061</v>
      </c>
      <c r="AH6" s="376">
        <f t="shared" si="5"/>
        <v>64.537317696005061</v>
      </c>
      <c r="AI6" s="376">
        <f t="shared" si="5"/>
        <v>64.537317696005061</v>
      </c>
      <c r="AJ6" s="376">
        <f t="shared" si="5"/>
        <v>57.945204184200321</v>
      </c>
      <c r="AK6" s="372">
        <f>GBDNZ!$G108*$Z6/($T6+$W6+$X6+U6+V6)</f>
        <v>209.38240122403411</v>
      </c>
      <c r="AL6" s="376">
        <f t="shared" si="6"/>
        <v>209.38240122403411</v>
      </c>
      <c r="AM6" s="376">
        <f t="shared" si="6"/>
        <v>209.38240122403411</v>
      </c>
      <c r="AN6" s="376">
        <f t="shared" si="6"/>
        <v>209.38240122403411</v>
      </c>
      <c r="AO6" s="376">
        <f t="shared" si="6"/>
        <v>187.9952006783796</v>
      </c>
      <c r="AP6" s="372">
        <f t="shared" ref="AP6:AP18" si="9">AA6+AB6+AE6+AC6+AD6-AC23-AD23-AA23-AB23-AE23</f>
        <v>2.3849468105507921E-3</v>
      </c>
      <c r="AQ6" s="372">
        <f t="shared" ref="AQ6:AQ18" si="10">AF6+AG6+AJ6+AH6+AI6-AH23-AI23-AG23-AJ23-AF23</f>
        <v>0.11371907622060462</v>
      </c>
      <c r="AR6" s="372">
        <f t="shared" ref="AR6:AR18" si="11">AK6+AL6+AO6-AK23+AM6+AN6-AM23-AN23-AL23-AO23</f>
        <v>0.36894581451605291</v>
      </c>
      <c r="AS6" s="372">
        <f t="shared" si="7"/>
        <v>0.48266489073665753</v>
      </c>
    </row>
    <row r="7" spans="1:45" ht="11.15" customHeight="1" x14ac:dyDescent="0.3">
      <c r="A7" s="364">
        <v>1</v>
      </c>
      <c r="B7" s="364">
        <v>1</v>
      </c>
      <c r="C7" s="364" t="s">
        <v>37</v>
      </c>
      <c r="D7" s="372">
        <f>Scenario!AN23</f>
        <v>0.44101223863405448</v>
      </c>
      <c r="E7" s="372">
        <f>Scenario!AO23</f>
        <v>1.0516614818156649</v>
      </c>
      <c r="F7" s="372">
        <f>Scenario!AP23</f>
        <v>1.9199043769114967</v>
      </c>
      <c r="G7" s="372">
        <f>Scenario!AQ23</f>
        <v>3.5049613209376891</v>
      </c>
      <c r="H7" s="372">
        <f>Scenario!AR23</f>
        <v>8.3581191032263789</v>
      </c>
      <c r="I7" s="373">
        <f t="shared" si="0"/>
        <v>0.1</v>
      </c>
      <c r="J7" s="373">
        <f t="shared" si="1"/>
        <v>0.1</v>
      </c>
      <c r="K7" s="373">
        <f t="shared" si="1"/>
        <v>0.1</v>
      </c>
      <c r="L7" s="373">
        <f t="shared" si="1"/>
        <v>3.5049613209376891</v>
      </c>
      <c r="M7" s="373">
        <f t="shared" si="1"/>
        <v>8.3581191032263789</v>
      </c>
      <c r="N7" s="380">
        <f>'Phy activity RRs'!$M$4</f>
        <v>0.94277975044398532</v>
      </c>
      <c r="O7" s="373">
        <f>IF(('user page'!$R$36=0),$N7^(I7^0.25),IF(('user page'!$R$36=1),$N7^(I7^0.5),IF(('user page'!$R$36=2),$N7^(I7^0.375),IF(('user page'!$R$36=4),$N7^(I7),IF(('user page'!$R$36=3),$N7^(LN(1+I7)),"")))))</f>
        <v>0.98153956255603969</v>
      </c>
      <c r="P7" s="373">
        <f>IF(('user page'!$R$36=0),$N7^(J7^0.25),IF(('user page'!$R$36=1),$N7^(J7^0.5),IF(('user page'!$R$36=2),$N7^(J7^0.375),IF(('user page'!$R$36=4),$N7^(J7),IF(('user page'!$R$36=3),$N7^(LN(1+J7)),"")))))</f>
        <v>0.98153956255603969</v>
      </c>
      <c r="Q7" s="373">
        <f>IF(('user page'!$R$36=0),$N7^(K7^0.25),IF(('user page'!$R$36=1),$N7^(K7^0.5),IF(('user page'!$R$36=2),$N7^(K7^0.375),IF(('user page'!$R$36=4),$N7^(K7),IF(('user page'!$R$36=3),$N7^(LN(1+K7)),"")))))</f>
        <v>0.98153956255603969</v>
      </c>
      <c r="R7" s="373">
        <f>IF(('user page'!$R$36=0),$N7^(L7^0.25),IF(('user page'!$R$36=1),$N7^(L7^0.5),IF(('user page'!$R$36=2),$N7^(L7^0.375),IF(('user page'!$R$36=4),$N7^(L7),IF(('user page'!$R$36=3),$N7^(LN(1+L7)),"")))))</f>
        <v>0.89555452917934264</v>
      </c>
      <c r="S7" s="373">
        <f>IF(('user page'!$R$36=0),$N7^(M7^0.25),IF(('user page'!$R$36=1),$N7^(M7^0.5),IF(('user page'!$R$36=2),$N7^(M7^0.375),IF(('user page'!$R$36=4),$N7^(M7),IF(('user page'!$R$36=3),$N7^(LN(1+M7)),"")))))</f>
        <v>0.84337159003398765</v>
      </c>
      <c r="T7" s="374">
        <f t="shared" si="2"/>
        <v>1</v>
      </c>
      <c r="U7" s="374">
        <f t="shared" si="2"/>
        <v>1</v>
      </c>
      <c r="V7" s="374">
        <f t="shared" si="2"/>
        <v>1</v>
      </c>
      <c r="W7" s="374">
        <f t="shared" si="2"/>
        <v>0.91239779153396294</v>
      </c>
      <c r="X7" s="374">
        <f t="shared" si="2"/>
        <v>0.85923341473649106</v>
      </c>
      <c r="Y7" s="377">
        <f t="shared" si="8"/>
        <v>-2.0784910870563778E-4</v>
      </c>
      <c r="Z7" s="381">
        <f t="shared" si="3"/>
        <v>1.0002078491087056</v>
      </c>
      <c r="AA7" s="372">
        <f>(GBDNZ!$E109*Z7)/($T7+$W7+$X7+U7+V7)</f>
        <v>9.061053788596352</v>
      </c>
      <c r="AB7" s="376">
        <f t="shared" si="4"/>
        <v>9.061053788596352</v>
      </c>
      <c r="AC7" s="376">
        <f t="shared" si="4"/>
        <v>9.061053788596352</v>
      </c>
      <c r="AD7" s="376">
        <f t="shared" si="4"/>
        <v>8.2672854656857595</v>
      </c>
      <c r="AE7" s="376">
        <f t="shared" si="4"/>
        <v>7.7855601878866629</v>
      </c>
      <c r="AF7" s="372">
        <f>Z7*GBDNZ!$F109/($T7+$W7+$X7+U7+V7)</f>
        <v>306.60037607939722</v>
      </c>
      <c r="AG7" s="376">
        <f t="shared" si="5"/>
        <v>306.60037607939722</v>
      </c>
      <c r="AH7" s="376">
        <f t="shared" si="5"/>
        <v>306.60037607939722</v>
      </c>
      <c r="AI7" s="376">
        <f t="shared" si="5"/>
        <v>279.74150601832451</v>
      </c>
      <c r="AJ7" s="376">
        <f t="shared" si="5"/>
        <v>263.44128809819284</v>
      </c>
      <c r="AK7" s="372">
        <f>GBDNZ!$G109*$Z7/($T7+$W7+$X7+U7+V7)</f>
        <v>666.33063851045711</v>
      </c>
      <c r="AL7" s="376">
        <f t="shared" si="6"/>
        <v>666.33063851045711</v>
      </c>
      <c r="AM7" s="376">
        <f t="shared" si="6"/>
        <v>666.33063851045711</v>
      </c>
      <c r="AN7" s="376">
        <f t="shared" si="6"/>
        <v>607.95860300835648</v>
      </c>
      <c r="AO7" s="376">
        <f t="shared" si="6"/>
        <v>572.53354987088653</v>
      </c>
      <c r="AP7" s="372">
        <f t="shared" si="9"/>
        <v>8.9846980614831651E-3</v>
      </c>
      <c r="AQ7" s="372">
        <f t="shared" si="10"/>
        <v>0.30401671470906422</v>
      </c>
      <c r="AR7" s="372">
        <f t="shared" si="11"/>
        <v>0.66071560061470791</v>
      </c>
      <c r="AS7" s="372">
        <f t="shared" si="7"/>
        <v>0.96473231532377213</v>
      </c>
    </row>
    <row r="8" spans="1:45" ht="11.15" customHeight="1" x14ac:dyDescent="0.3">
      <c r="A8" s="364">
        <v>1</v>
      </c>
      <c r="B8" s="364">
        <v>1</v>
      </c>
      <c r="C8" s="364" t="s">
        <v>36</v>
      </c>
      <c r="D8" s="372">
        <f>Scenario!AN24</f>
        <v>0.39571511265083242</v>
      </c>
      <c r="E8" s="372">
        <f>Scenario!AO24</f>
        <v>0.94364352117798989</v>
      </c>
      <c r="F8" s="372">
        <f>Scenario!AP24</f>
        <v>1.7227076943294906</v>
      </c>
      <c r="G8" s="372">
        <f>Scenario!AQ24</f>
        <v>3.1449607118557816</v>
      </c>
      <c r="H8" s="372">
        <f>Scenario!AR24</f>
        <v>7.4996423063595765</v>
      </c>
      <c r="I8" s="373">
        <f t="shared" si="0"/>
        <v>0.1</v>
      </c>
      <c r="J8" s="373">
        <f t="shared" si="1"/>
        <v>0.1</v>
      </c>
      <c r="K8" s="373">
        <f t="shared" si="1"/>
        <v>0.1</v>
      </c>
      <c r="L8" s="373">
        <f t="shared" si="1"/>
        <v>3.1449607118557816</v>
      </c>
      <c r="M8" s="373">
        <f t="shared" si="1"/>
        <v>7.4996423063595765</v>
      </c>
      <c r="N8" s="380">
        <f>'Phy activity RRs'!$M$4</f>
        <v>0.94277975044398532</v>
      </c>
      <c r="O8" s="373">
        <f>IF(('user page'!$R$36=0),$N8^(I8^0.25),IF(('user page'!$R$36=1),$N8^(I8^0.5),IF(('user page'!$R$36=2),$N8^(I8^0.375),IF(('user page'!$R$36=4),$N8^(I8),IF(('user page'!$R$36=3),$N8^(LN(1+I8)),"")))))</f>
        <v>0.98153956255603969</v>
      </c>
      <c r="P8" s="373">
        <f>IF(('user page'!$R$36=0),$N8^(J8^0.25),IF(('user page'!$R$36=1),$N8^(J8^0.5),IF(('user page'!$R$36=2),$N8^(J8^0.375),IF(('user page'!$R$36=4),$N8^(J8),IF(('user page'!$R$36=3),$N8^(LN(1+J8)),"")))))</f>
        <v>0.98153956255603969</v>
      </c>
      <c r="Q8" s="373">
        <f>IF(('user page'!$R$36=0),$N8^(K8^0.25),IF(('user page'!$R$36=1),$N8^(K8^0.5),IF(('user page'!$R$36=2),$N8^(K8^0.375),IF(('user page'!$R$36=4),$N8^(K8),IF(('user page'!$R$36=3),$N8^(LN(1+K8)),"")))))</f>
        <v>0.98153956255603969</v>
      </c>
      <c r="R8" s="373">
        <f>IF(('user page'!$R$36=0),$N8^(L8^0.25),IF(('user page'!$R$36=1),$N8^(L8^0.5),IF(('user page'!$R$36=2),$N8^(L8^0.375),IF(('user page'!$R$36=4),$N8^(L8),IF(('user page'!$R$36=3),$N8^(LN(1+L8)),"")))))</f>
        <v>0.90078062277818893</v>
      </c>
      <c r="S8" s="373">
        <f>IF(('user page'!$R$36=0),$N8^(M8^0.25),IF(('user page'!$R$36=1),$N8^(M8^0.5),IF(('user page'!$R$36=2),$N8^(M8^0.375),IF(('user page'!$R$36=4),$N8^(M8),IF(('user page'!$R$36=3),$N8^(LN(1+M8)),"")))))</f>
        <v>0.85098370371087462</v>
      </c>
      <c r="T8" s="374">
        <f t="shared" si="2"/>
        <v>1</v>
      </c>
      <c r="U8" s="374">
        <f t="shared" si="2"/>
        <v>1</v>
      </c>
      <c r="V8" s="374">
        <f t="shared" si="2"/>
        <v>1</v>
      </c>
      <c r="W8" s="374">
        <f t="shared" si="2"/>
        <v>0.91772217559163349</v>
      </c>
      <c r="X8" s="374">
        <f t="shared" si="2"/>
        <v>0.86698869426599279</v>
      </c>
      <c r="Y8" s="377">
        <f t="shared" si="8"/>
        <v>-1.6233292184453241E-3</v>
      </c>
      <c r="Z8" s="381">
        <f t="shared" si="3"/>
        <v>1.0016233292184453</v>
      </c>
      <c r="AA8" s="372">
        <f>(GBDNZ!$E110*Z8)/($T8+$W8+$X8+U8+V8)</f>
        <v>15.990881907161159</v>
      </c>
      <c r="AB8" s="376">
        <f t="shared" si="4"/>
        <v>15.990881907161159</v>
      </c>
      <c r="AC8" s="376">
        <f t="shared" si="4"/>
        <v>15.990881907161159</v>
      </c>
      <c r="AD8" s="376">
        <f t="shared" si="4"/>
        <v>14.675186933468828</v>
      </c>
      <c r="AE8" s="376">
        <f t="shared" si="4"/>
        <v>13.863913824851341</v>
      </c>
      <c r="AF8" s="372">
        <f>Z8*GBDNZ!$F110/($T8+$W8+$X8+U8+V8)</f>
        <v>377.43576811138649</v>
      </c>
      <c r="AG8" s="376">
        <f t="shared" si="5"/>
        <v>377.43576811138649</v>
      </c>
      <c r="AH8" s="376">
        <f t="shared" si="5"/>
        <v>377.43576811138649</v>
      </c>
      <c r="AI8" s="376">
        <f t="shared" si="5"/>
        <v>346.38117425728092</v>
      </c>
      <c r="AJ8" s="376">
        <f t="shared" si="5"/>
        <v>327.23254376417299</v>
      </c>
      <c r="AK8" s="372">
        <f>GBDNZ!$G110*$Z8/($T8+$W8+$X8+U8+V8)</f>
        <v>536.93996154906404</v>
      </c>
      <c r="AL8" s="376">
        <f t="shared" si="6"/>
        <v>536.93996154906404</v>
      </c>
      <c r="AM8" s="376">
        <f t="shared" si="6"/>
        <v>536.93996154906404</v>
      </c>
      <c r="AN8" s="376">
        <f t="shared" si="6"/>
        <v>492.76170967489509</v>
      </c>
      <c r="AO8" s="376">
        <f t="shared" si="6"/>
        <v>465.52087616265538</v>
      </c>
      <c r="AP8" s="372">
        <f t="shared" si="9"/>
        <v>0.1240024568036624</v>
      </c>
      <c r="AQ8" s="372">
        <f t="shared" si="10"/>
        <v>2.9268531156139375</v>
      </c>
      <c r="AR8" s="372">
        <f t="shared" si="11"/>
        <v>4.1637399847426764</v>
      </c>
      <c r="AS8" s="372">
        <f t="shared" si="7"/>
        <v>7.0905931003566138</v>
      </c>
    </row>
    <row r="9" spans="1:45" ht="11.15" customHeight="1" x14ac:dyDescent="0.3">
      <c r="A9" s="364">
        <v>1</v>
      </c>
      <c r="B9" s="364">
        <v>1</v>
      </c>
      <c r="C9" s="364" t="s">
        <v>35</v>
      </c>
      <c r="D9" s="372">
        <f>Scenario!AN25</f>
        <v>0.48300262725816756</v>
      </c>
      <c r="E9" s="372">
        <f>Scenario!AO25</f>
        <v>1.1517940188609537</v>
      </c>
      <c r="F9" s="372">
        <f>Scenario!AP25</f>
        <v>2.1027054963483303</v>
      </c>
      <c r="G9" s="372">
        <f>Scenario!AQ25</f>
        <v>3.8386815107321977</v>
      </c>
      <c r="H9" s="372">
        <f>Scenario!AR25</f>
        <v>9.1539262000954498</v>
      </c>
      <c r="I9" s="373">
        <f t="shared" si="0"/>
        <v>0.1</v>
      </c>
      <c r="J9" s="373">
        <f t="shared" si="1"/>
        <v>0.1</v>
      </c>
      <c r="K9" s="373">
        <f t="shared" si="1"/>
        <v>0.1</v>
      </c>
      <c r="L9" s="373">
        <f t="shared" si="1"/>
        <v>3.8386815107321977</v>
      </c>
      <c r="M9" s="373">
        <f t="shared" si="1"/>
        <v>9.1539262000954498</v>
      </c>
      <c r="N9" s="380">
        <f>'Phy activity RRs'!$M$4</f>
        <v>0.94277975044398532</v>
      </c>
      <c r="O9" s="373">
        <f>IF(('user page'!$R$36=0),$N9^(I9^0.25),IF(('user page'!$R$36=1),$N9^(I9^0.5),IF(('user page'!$R$36=2),$N9^(I9^0.375),IF(('user page'!$R$36=4),$N9^(I9),IF(('user page'!$R$36=3),$N9^(LN(1+I9)),"")))))</f>
        <v>0.98153956255603969</v>
      </c>
      <c r="P9" s="373">
        <f>IF(('user page'!$R$36=0),$N9^(J9^0.25),IF(('user page'!$R$36=1),$N9^(J9^0.5),IF(('user page'!$R$36=2),$N9^(J9^0.375),IF(('user page'!$R$36=4),$N9^(J9),IF(('user page'!$R$36=3),$N9^(LN(1+J9)),"")))))</f>
        <v>0.98153956255603969</v>
      </c>
      <c r="Q9" s="373">
        <f>IF(('user page'!$R$36=0),$N9^(K9^0.25),IF(('user page'!$R$36=1),$N9^(K9^0.5),IF(('user page'!$R$36=2),$N9^(K9^0.375),IF(('user page'!$R$36=4),$N9^(K9),IF(('user page'!$R$36=3),$N9^(LN(1+K9)),"")))))</f>
        <v>0.98153956255603969</v>
      </c>
      <c r="R9" s="373">
        <f>IF(('user page'!$R$36=0),$N9^(L9^0.25),IF(('user page'!$R$36=1),$N9^(L9^0.5),IF(('user page'!$R$36=2),$N9^(L9^0.375),IF(('user page'!$R$36=4),$N9^(L9),IF(('user page'!$R$36=3),$N9^(LN(1+L9)),"")))))</f>
        <v>0.89097011582104479</v>
      </c>
      <c r="S9" s="373">
        <f>IF(('user page'!$R$36=0),$N9^(M9^0.25),IF(('user page'!$R$36=1),$N9^(M9^0.5),IF(('user page'!$R$36=2),$N9^(M9^0.375),IF(('user page'!$R$36=4),$N9^(M9),IF(('user page'!$R$36=3),$N9^(LN(1+M9)),"")))))</f>
        <v>0.83671399298725402</v>
      </c>
      <c r="T9" s="374">
        <f t="shared" si="2"/>
        <v>1</v>
      </c>
      <c r="U9" s="374">
        <f t="shared" si="2"/>
        <v>1</v>
      </c>
      <c r="V9" s="374">
        <f t="shared" si="2"/>
        <v>1</v>
      </c>
      <c r="W9" s="374">
        <f t="shared" si="2"/>
        <v>0.90772715620433897</v>
      </c>
      <c r="X9" s="374">
        <f t="shared" si="2"/>
        <v>0.85245060403714801</v>
      </c>
      <c r="Y9" s="377">
        <f t="shared" si="8"/>
        <v>-1.6298347222469811E-3</v>
      </c>
      <c r="Z9" s="381">
        <f t="shared" si="3"/>
        <v>1.001629834722247</v>
      </c>
      <c r="AA9" s="372">
        <f>(GBDNZ!$E111*Z9)/($T9+$W9+$X9+U9+V9)</f>
        <v>22.539397581036553</v>
      </c>
      <c r="AB9" s="376">
        <f t="shared" si="4"/>
        <v>22.539397581036553</v>
      </c>
      <c r="AC9" s="376">
        <f t="shared" si="4"/>
        <v>22.539397581036553</v>
      </c>
      <c r="AD9" s="376">
        <f t="shared" si="4"/>
        <v>20.459623268793266</v>
      </c>
      <c r="AE9" s="376">
        <f t="shared" si="4"/>
        <v>19.213723082588043</v>
      </c>
      <c r="AF9" s="372">
        <f>Z9*GBDNZ!$F111/($T9+$W9+$X9+U9+V9)</f>
        <v>338.79291171456174</v>
      </c>
      <c r="AG9" s="376">
        <f t="shared" si="5"/>
        <v>338.79291171456174</v>
      </c>
      <c r="AH9" s="376">
        <f t="shared" si="5"/>
        <v>338.79291171456174</v>
      </c>
      <c r="AI9" s="376">
        <f t="shared" si="5"/>
        <v>307.53152629284682</v>
      </c>
      <c r="AJ9" s="376">
        <f t="shared" si="5"/>
        <v>288.80422223458231</v>
      </c>
      <c r="AK9" s="372">
        <f>GBDNZ!$G111*$Z9/($T9+$W9+$X9+U9+V9)</f>
        <v>322.54838156087004</v>
      </c>
      <c r="AL9" s="376">
        <f t="shared" si="6"/>
        <v>322.54838156087004</v>
      </c>
      <c r="AM9" s="376">
        <f t="shared" si="6"/>
        <v>322.54838156087004</v>
      </c>
      <c r="AN9" s="376">
        <f t="shared" si="6"/>
        <v>292.78592513256064</v>
      </c>
      <c r="AO9" s="376">
        <f t="shared" si="6"/>
        <v>274.95656269276816</v>
      </c>
      <c r="AP9" s="372">
        <f t="shared" si="9"/>
        <v>0.1745829344909744</v>
      </c>
      <c r="AQ9" s="372">
        <f t="shared" si="10"/>
        <v>2.624181081114159</v>
      </c>
      <c r="AR9" s="372">
        <f t="shared" si="11"/>
        <v>2.498356167939221</v>
      </c>
      <c r="AS9" s="372">
        <f t="shared" si="7"/>
        <v>5.12253724905338</v>
      </c>
    </row>
    <row r="10" spans="1:45" ht="11.15" customHeight="1" x14ac:dyDescent="0.3">
      <c r="A10" s="364">
        <v>1</v>
      </c>
      <c r="B10" s="364">
        <v>1</v>
      </c>
      <c r="C10" s="364" t="s">
        <v>34</v>
      </c>
      <c r="D10" s="372">
        <f>Scenario!AN26</f>
        <v>0.23447740333822151</v>
      </c>
      <c r="E10" s="372">
        <f>Scenario!AO26</f>
        <v>0.55914741552463088</v>
      </c>
      <c r="F10" s="372">
        <f>Scenario!AP26</f>
        <v>1.0207748300823047</v>
      </c>
      <c r="G10" s="372">
        <f>Scenario!AQ26</f>
        <v>1.8635179646710851</v>
      </c>
      <c r="H10" s="372">
        <f>Scenario!AR26</f>
        <v>4.4438450737470596</v>
      </c>
      <c r="I10" s="373">
        <f t="shared" si="0"/>
        <v>0.1</v>
      </c>
      <c r="J10" s="373">
        <f t="shared" si="1"/>
        <v>0.1</v>
      </c>
      <c r="K10" s="373">
        <f t="shared" si="1"/>
        <v>0.1</v>
      </c>
      <c r="L10" s="373">
        <f t="shared" si="1"/>
        <v>0.1</v>
      </c>
      <c r="M10" s="373">
        <f t="shared" si="1"/>
        <v>4.4438450737470596</v>
      </c>
      <c r="N10" s="380">
        <f>'Phy activity RRs'!$M$4</f>
        <v>0.94277975044398532</v>
      </c>
      <c r="O10" s="373">
        <f>IF(('user page'!$R$36=0),$N10^(I10^0.25),IF(('user page'!$R$36=1),$N10^(I10^0.5),IF(('user page'!$R$36=2),$N10^(I10^0.375),IF(('user page'!$R$36=4),$N10^(I10),IF(('user page'!$R$36=3),$N10^(LN(1+I10)),"")))))</f>
        <v>0.98153956255603969</v>
      </c>
      <c r="P10" s="373">
        <f>IF(('user page'!$R$36=0),$N10^(J10^0.25),IF(('user page'!$R$36=1),$N10^(J10^0.5),IF(('user page'!$R$36=2),$N10^(J10^0.375),IF(('user page'!$R$36=4),$N10^(J10),IF(('user page'!$R$36=3),$N10^(LN(1+J10)),"")))))</f>
        <v>0.98153956255603969</v>
      </c>
      <c r="Q10" s="373">
        <f>IF(('user page'!$R$36=0),$N10^(K10^0.25),IF(('user page'!$R$36=1),$N10^(K10^0.5),IF(('user page'!$R$36=2),$N10^(K10^0.375),IF(('user page'!$R$36=4),$N10^(K10),IF(('user page'!$R$36=3),$N10^(LN(1+K10)),"")))))</f>
        <v>0.98153956255603969</v>
      </c>
      <c r="R10" s="373">
        <f>IF(('user page'!$R$36=0),$N10^(L10^0.25),IF(('user page'!$R$36=1),$N10^(L10^0.5),IF(('user page'!$R$36=2),$N10^(L10^0.375),IF(('user page'!$R$36=4),$N10^(L10),IF(('user page'!$R$36=3),$N10^(LN(1+L10)),"")))))</f>
        <v>0.98153956255603969</v>
      </c>
      <c r="S10" s="373">
        <f>IF(('user page'!$R$36=0),$N10^(M10^0.25),IF(('user page'!$R$36=1),$N10^(M10^0.5),IF(('user page'!$R$36=2),$N10^(M10^0.375),IF(('user page'!$R$36=4),$N10^(M10),IF(('user page'!$R$36=3),$N10^(LN(1+M10)),"")))))</f>
        <v>0.88319316492759026</v>
      </c>
      <c r="T10" s="374">
        <f t="shared" si="2"/>
        <v>1</v>
      </c>
      <c r="U10" s="374">
        <f t="shared" si="2"/>
        <v>1</v>
      </c>
      <c r="V10" s="374">
        <f t="shared" si="2"/>
        <v>1</v>
      </c>
      <c r="W10" s="374">
        <f t="shared" si="2"/>
        <v>1</v>
      </c>
      <c r="X10" s="374">
        <f t="shared" si="2"/>
        <v>0.89980393926013091</v>
      </c>
      <c r="Y10" s="377">
        <f t="shared" si="8"/>
        <v>-7.9655088783336936E-4</v>
      </c>
      <c r="Z10" s="381">
        <f t="shared" si="3"/>
        <v>1.0007965508878334</v>
      </c>
      <c r="AA10" s="372">
        <f>(GBDNZ!$E112*Z10)/($T10+$W10+$X10+U10+V10)</f>
        <v>33.031376241091778</v>
      </c>
      <c r="AB10" s="376">
        <f t="shared" si="4"/>
        <v>33.031376241091778</v>
      </c>
      <c r="AC10" s="376">
        <f t="shared" si="4"/>
        <v>33.031376241091778</v>
      </c>
      <c r="AD10" s="376">
        <f t="shared" si="4"/>
        <v>33.031376241091778</v>
      </c>
      <c r="AE10" s="376">
        <f t="shared" si="4"/>
        <v>29.721762460917876</v>
      </c>
      <c r="AF10" s="372">
        <f>Z10*GBDNZ!$F112/($T10+$W10+$X10+U10+V10)</f>
        <v>215.68840452995457</v>
      </c>
      <c r="AG10" s="376">
        <f t="shared" si="5"/>
        <v>215.68840452995457</v>
      </c>
      <c r="AH10" s="376">
        <f t="shared" si="5"/>
        <v>215.68840452995457</v>
      </c>
      <c r="AI10" s="376">
        <f t="shared" si="5"/>
        <v>215.68840452995457</v>
      </c>
      <c r="AJ10" s="376">
        <f t="shared" si="5"/>
        <v>194.07727604878579</v>
      </c>
      <c r="AK10" s="372">
        <f>GBDNZ!$G112*$Z10/($T10+$W10+$X10+U10+V10)</f>
        <v>216.51425397785019</v>
      </c>
      <c r="AL10" s="376">
        <f t="shared" si="6"/>
        <v>216.51425397785019</v>
      </c>
      <c r="AM10" s="376">
        <f t="shared" si="6"/>
        <v>216.51425397785019</v>
      </c>
      <c r="AN10" s="376">
        <f t="shared" si="6"/>
        <v>216.51425397785019</v>
      </c>
      <c r="AO10" s="376">
        <f t="shared" si="6"/>
        <v>194.82037863523806</v>
      </c>
      <c r="AP10" s="372">
        <f t="shared" si="9"/>
        <v>0.12881697528499814</v>
      </c>
      <c r="AQ10" s="372">
        <f t="shared" si="10"/>
        <v>0.8411495686040098</v>
      </c>
      <c r="AR10" s="372">
        <f t="shared" si="11"/>
        <v>0.84437024663884586</v>
      </c>
      <c r="AS10" s="372">
        <f t="shared" si="7"/>
        <v>1.6855198152428557</v>
      </c>
    </row>
    <row r="11" spans="1:45" ht="11.15" customHeight="1" x14ac:dyDescent="0.3">
      <c r="A11" s="364">
        <v>1</v>
      </c>
      <c r="B11" s="364">
        <v>2</v>
      </c>
      <c r="C11" s="364" t="s">
        <v>2</v>
      </c>
      <c r="D11" s="372"/>
      <c r="E11" s="372"/>
      <c r="F11" s="372"/>
      <c r="G11" s="372"/>
      <c r="H11" s="372"/>
      <c r="I11" s="373"/>
      <c r="J11" s="373"/>
      <c r="K11" s="373"/>
      <c r="L11" s="373"/>
      <c r="M11" s="373"/>
      <c r="N11" s="380"/>
      <c r="O11" s="373"/>
      <c r="P11" s="373"/>
      <c r="Q11" s="373"/>
      <c r="R11" s="373"/>
      <c r="S11" s="373"/>
      <c r="T11" s="374"/>
      <c r="U11" s="374"/>
      <c r="V11" s="374"/>
      <c r="W11" s="374"/>
      <c r="X11" s="374"/>
      <c r="Y11" s="377"/>
      <c r="Z11" s="381"/>
      <c r="AA11" s="372"/>
      <c r="AB11" s="376"/>
      <c r="AC11" s="376"/>
      <c r="AD11" s="376"/>
      <c r="AE11" s="376"/>
      <c r="AF11" s="372"/>
      <c r="AG11" s="376"/>
      <c r="AH11" s="376"/>
      <c r="AI11" s="376"/>
      <c r="AJ11" s="376"/>
      <c r="AK11" s="372"/>
      <c r="AL11" s="376"/>
      <c r="AM11" s="376"/>
      <c r="AN11" s="376"/>
      <c r="AO11" s="376"/>
      <c r="AP11" s="372"/>
      <c r="AQ11" s="372"/>
      <c r="AR11" s="372"/>
      <c r="AS11" s="372"/>
    </row>
    <row r="12" spans="1:45" ht="11.15" customHeight="1" x14ac:dyDescent="0.3">
      <c r="A12" s="364">
        <v>1</v>
      </c>
      <c r="B12" s="364">
        <v>2</v>
      </c>
      <c r="C12" s="364" t="s">
        <v>40</v>
      </c>
      <c r="D12" s="372"/>
      <c r="E12" s="372"/>
      <c r="F12" s="372"/>
      <c r="G12" s="372"/>
      <c r="H12" s="372"/>
      <c r="I12" s="373"/>
      <c r="J12" s="373"/>
      <c r="K12" s="373"/>
      <c r="L12" s="373"/>
      <c r="M12" s="373"/>
      <c r="N12" s="380"/>
      <c r="O12" s="373"/>
      <c r="P12" s="373"/>
      <c r="Q12" s="373"/>
      <c r="R12" s="373"/>
      <c r="S12" s="373"/>
      <c r="T12" s="374"/>
      <c r="U12" s="374"/>
      <c r="V12" s="374"/>
      <c r="W12" s="374"/>
      <c r="X12" s="374"/>
      <c r="Y12" s="377"/>
      <c r="Z12" s="381"/>
      <c r="AA12" s="372"/>
      <c r="AB12" s="376"/>
      <c r="AC12" s="376"/>
      <c r="AD12" s="376"/>
      <c r="AE12" s="376"/>
      <c r="AF12" s="372"/>
      <c r="AG12" s="376"/>
      <c r="AH12" s="376"/>
      <c r="AI12" s="376"/>
      <c r="AJ12" s="376"/>
      <c r="AK12" s="372"/>
      <c r="AL12" s="376"/>
      <c r="AM12" s="376"/>
      <c r="AN12" s="376"/>
      <c r="AO12" s="376"/>
      <c r="AP12" s="372"/>
      <c r="AQ12" s="372"/>
      <c r="AR12" s="372"/>
      <c r="AS12" s="372"/>
    </row>
    <row r="13" spans="1:45" ht="11.15" customHeight="1" x14ac:dyDescent="0.3">
      <c r="A13" s="364">
        <v>1</v>
      </c>
      <c r="B13" s="364">
        <v>2</v>
      </c>
      <c r="C13" s="364" t="s">
        <v>39</v>
      </c>
      <c r="D13" s="372">
        <f>Scenario!AN29</f>
        <v>0.36317941114117153</v>
      </c>
      <c r="E13" s="372">
        <f>Scenario!AO29</f>
        <v>0.86605713906863857</v>
      </c>
      <c r="F13" s="372">
        <f>Scenario!AP29</f>
        <v>1.5810666461632132</v>
      </c>
      <c r="G13" s="372">
        <f>Scenario!AQ29</f>
        <v>2.8863820028064824</v>
      </c>
      <c r="H13" s="372">
        <f>Scenario!AR29</f>
        <v>6.8830216221648746</v>
      </c>
      <c r="I13" s="373">
        <f t="shared" ref="I13:I18" si="12">IF(D13&gt;2.5,D13,0.1)</f>
        <v>0.1</v>
      </c>
      <c r="J13" s="373">
        <f t="shared" si="1"/>
        <v>0.1</v>
      </c>
      <c r="K13" s="373">
        <f t="shared" si="1"/>
        <v>0.1</v>
      </c>
      <c r="L13" s="373">
        <f t="shared" si="1"/>
        <v>2.8863820028064824</v>
      </c>
      <c r="M13" s="373">
        <f t="shared" si="1"/>
        <v>6.8830216221648746</v>
      </c>
      <c r="N13" s="380">
        <f>'Phy activity RRs'!$M$4</f>
        <v>0.94277975044398532</v>
      </c>
      <c r="O13" s="373">
        <f>IF(('user page'!$R$36=0),$N13^(I13^0.25),IF(('user page'!$R$36=1),$N13^(I13^0.5),IF(('user page'!$R$36=2),$N13^(I13^0.375),IF(('user page'!$R$36=4),$N13^(I13),IF(('user page'!$R$36=3),$N13^(LN(1+I13)),"")))))</f>
        <v>0.98153956255603969</v>
      </c>
      <c r="P13" s="373">
        <f>IF(('user page'!$R$36=0),$N13^(J13^0.25),IF(('user page'!$R$36=1),$N13^(J13^0.5),IF(('user page'!$R$36=2),$N13^(J13^0.375),IF(('user page'!$R$36=4),$N13^(J13),IF(('user page'!$R$36=3),$N13^(LN(1+J13)),"")))))</f>
        <v>0.98153956255603969</v>
      </c>
      <c r="Q13" s="373">
        <f>IF(('user page'!$R$36=0),$N13^(K13^0.25),IF(('user page'!$R$36=1),$N13^(K13^0.5),IF(('user page'!$R$36=2),$N13^(K13^0.375),IF(('user page'!$R$36=4),$N13^(K13),IF(('user page'!$R$36=3),$N13^(LN(1+K13)),"")))))</f>
        <v>0.98153956255603969</v>
      </c>
      <c r="R13" s="373">
        <f>IF(('user page'!$R$36=0),$N13^(L13^0.25),IF(('user page'!$R$36=1),$N13^(L13^0.5),IF(('user page'!$R$36=2),$N13^(L13^0.375),IF(('user page'!$R$36=4),$N13^(L13),IF(('user page'!$R$36=3),$N13^(LN(1+L13)),"")))))</f>
        <v>0.90474180305380014</v>
      </c>
      <c r="S13" s="373">
        <f>IF(('user page'!$R$36=0),$N13^(M13^0.25),IF(('user page'!$R$36=1),$N13^(M13^0.5),IF(('user page'!$R$36=2),$N13^(M13^0.375),IF(('user page'!$R$36=4),$N13^(M13),IF(('user page'!$R$36=3),$N13^(LN(1+M13)),"")))))</f>
        <v>0.85676943836338493</v>
      </c>
      <c r="T13" s="374">
        <f t="shared" ref="T13:X18" si="13">O13/$O13</f>
        <v>1</v>
      </c>
      <c r="U13" s="374">
        <f t="shared" si="13"/>
        <v>1</v>
      </c>
      <c r="V13" s="374">
        <f t="shared" si="13"/>
        <v>1</v>
      </c>
      <c r="W13" s="374">
        <f t="shared" si="13"/>
        <v>0.92175785629847717</v>
      </c>
      <c r="X13" s="374">
        <f t="shared" si="13"/>
        <v>0.87288324490177527</v>
      </c>
      <c r="Y13" s="377">
        <f t="shared" si="8"/>
        <v>-1.4729522614909119E-3</v>
      </c>
      <c r="Z13" s="381">
        <f t="shared" ref="Z13:Z18" si="14">SUM(O13:S13)/SUM(O30:S30)</f>
        <v>1.0014729522614909</v>
      </c>
      <c r="AA13" s="372">
        <f>(GBDNZ!$E115*Z13)/($T13+$W13+$X13+U13+V13)</f>
        <v>0.16523656940073334</v>
      </c>
      <c r="AB13" s="376">
        <f t="shared" ref="AB13:AE18" si="15">$AA13*U13</f>
        <v>0.16523656940073334</v>
      </c>
      <c r="AC13" s="376">
        <f t="shared" si="15"/>
        <v>0.16523656940073334</v>
      </c>
      <c r="AD13" s="376">
        <f t="shared" si="15"/>
        <v>0.15230810599293451</v>
      </c>
      <c r="AE13" s="376">
        <f t="shared" si="15"/>
        <v>0.14423223287494949</v>
      </c>
      <c r="AF13" s="372">
        <f>Z13*GBDNZ!$F115/($T13+$W13+$X13+U13+V13)</f>
        <v>10.596601374670856</v>
      </c>
      <c r="AG13" s="376">
        <f t="shared" ref="AG13:AJ18" si="16">$AF13*U13</f>
        <v>10.596601374670856</v>
      </c>
      <c r="AH13" s="376">
        <f t="shared" si="16"/>
        <v>10.596601374670856</v>
      </c>
      <c r="AI13" s="376">
        <f t="shared" si="16"/>
        <v>9.7675005671661044</v>
      </c>
      <c r="AJ13" s="376">
        <f t="shared" si="16"/>
        <v>9.2495957928533095</v>
      </c>
      <c r="AK13" s="372">
        <f>GBDNZ!$G115*$Z13/($T13+$W13+$X13+U13+V13)</f>
        <v>69.137253130699506</v>
      </c>
      <c r="AL13" s="376">
        <f t="shared" ref="AL13:AO18" si="17">$AK13*U13</f>
        <v>69.137253130699506</v>
      </c>
      <c r="AM13" s="376">
        <f t="shared" si="17"/>
        <v>69.137253130699506</v>
      </c>
      <c r="AN13" s="376">
        <f t="shared" si="17"/>
        <v>63.727806236118759</v>
      </c>
      <c r="AO13" s="376">
        <f t="shared" si="17"/>
        <v>60.348749856320403</v>
      </c>
      <c r="AP13" s="372">
        <f t="shared" si="9"/>
        <v>1.165230170083964E-3</v>
      </c>
      <c r="AQ13" s="372">
        <f t="shared" si="10"/>
        <v>7.4726071031987473E-2</v>
      </c>
      <c r="AR13" s="372">
        <f t="shared" si="11"/>
        <v>0.48754832853765606</v>
      </c>
      <c r="AS13" s="372">
        <f t="shared" ref="AS13:AS18" si="18">AQ13+AR13</f>
        <v>0.56227439956964353</v>
      </c>
    </row>
    <row r="14" spans="1:45" ht="11.15" customHeight="1" x14ac:dyDescent="0.3">
      <c r="A14" s="364">
        <v>1</v>
      </c>
      <c r="B14" s="364">
        <v>2</v>
      </c>
      <c r="C14" s="364" t="s">
        <v>38</v>
      </c>
      <c r="D14" s="372">
        <f>Scenario!AN30</f>
        <v>0.30288827772466836</v>
      </c>
      <c r="E14" s="372">
        <f>Scenario!AO30</f>
        <v>0.72228366261017962</v>
      </c>
      <c r="F14" s="372">
        <f>Scenario!AP30</f>
        <v>1.3185949939165058</v>
      </c>
      <c r="G14" s="373">
        <f>Scenario!AQ30</f>
        <v>2.4072159568145346</v>
      </c>
      <c r="H14" s="372">
        <f>Scenario!AR30</f>
        <v>5.7403765211480957</v>
      </c>
      <c r="I14" s="373">
        <f t="shared" si="12"/>
        <v>0.1</v>
      </c>
      <c r="J14" s="373">
        <f t="shared" si="1"/>
        <v>0.1</v>
      </c>
      <c r="K14" s="373">
        <f t="shared" si="1"/>
        <v>0.1</v>
      </c>
      <c r="L14" s="373">
        <f t="shared" si="1"/>
        <v>0.1</v>
      </c>
      <c r="M14" s="373">
        <f t="shared" si="1"/>
        <v>5.7403765211480957</v>
      </c>
      <c r="N14" s="380">
        <f>'Phy activity RRs'!$M$4</f>
        <v>0.94277975044398532</v>
      </c>
      <c r="O14" s="373">
        <f>IF(('user page'!$R$36=0),$N14^(I14^0.25),IF(('user page'!$R$36=1),$N14^(I14^0.5),IF(('user page'!$R$36=2),$N14^(I14^0.375),IF(('user page'!$R$36=4),$N14^(I14),IF(('user page'!$R$36=3),$N14^(LN(1+I14)),"")))))</f>
        <v>0.98153956255603969</v>
      </c>
      <c r="P14" s="373">
        <f>IF(('user page'!$R$36=0),$N14^(J14^0.25),IF(('user page'!$R$36=1),$N14^(J14^0.5),IF(('user page'!$R$36=2),$N14^(J14^0.375),IF(('user page'!$R$36=4),$N14^(J14),IF(('user page'!$R$36=3),$N14^(LN(1+J14)),"")))))</f>
        <v>0.98153956255603969</v>
      </c>
      <c r="Q14" s="373">
        <f>IF(('user page'!$R$36=0),$N14^(K14^0.25),IF(('user page'!$R$36=1),$N14^(K14^0.5),IF(('user page'!$R$36=2),$N14^(K14^0.375),IF(('user page'!$R$36=4),$N14^(K14),IF(('user page'!$R$36=3),$N14^(LN(1+K14)),"")))))</f>
        <v>0.98153956255603969</v>
      </c>
      <c r="R14" s="373">
        <f>IF(('user page'!$R$36=0),$N14^(L14^0.25),IF(('user page'!$R$36=1),$N14^(L14^0.5),IF(('user page'!$R$36=2),$N14^(L14^0.375),IF(('user page'!$R$36=4),$N14^(L14),IF(('user page'!$R$36=3),$N14^(LN(1+L14)),"")))))</f>
        <v>0.98153956255603969</v>
      </c>
      <c r="S14" s="373">
        <f>IF(('user page'!$R$36=0),$N14^(M14^0.25),IF(('user page'!$R$36=1),$N14^(M14^0.5),IF(('user page'!$R$36=2),$N14^(M14^0.375),IF(('user page'!$R$36=4),$N14^(M14),IF(('user page'!$R$36=3),$N14^(LN(1+M14)),"")))))</f>
        <v>0.86833897816688643</v>
      </c>
      <c r="T14" s="374">
        <f t="shared" si="13"/>
        <v>1</v>
      </c>
      <c r="U14" s="374">
        <f t="shared" si="13"/>
        <v>1</v>
      </c>
      <c r="V14" s="374">
        <f t="shared" si="13"/>
        <v>1</v>
      </c>
      <c r="W14" s="374">
        <f t="shared" si="13"/>
        <v>1</v>
      </c>
      <c r="X14" s="374">
        <f t="shared" si="13"/>
        <v>0.88467038038246149</v>
      </c>
      <c r="Y14" s="377">
        <f t="shared" si="8"/>
        <v>-1.5862054740778841E-2</v>
      </c>
      <c r="Z14" s="381">
        <f t="shared" si="14"/>
        <v>1.0158620547407788</v>
      </c>
      <c r="AA14" s="372">
        <f>(GBDNZ!$E116*Z14)/($T14+$W14+$X14+U14+V14)</f>
        <v>0.85754298277120022</v>
      </c>
      <c r="AB14" s="376">
        <f t="shared" si="15"/>
        <v>0.85754298277120022</v>
      </c>
      <c r="AC14" s="376">
        <f t="shared" si="15"/>
        <v>0.85754298277120022</v>
      </c>
      <c r="AD14" s="376">
        <f t="shared" si="15"/>
        <v>0.85754298277120022</v>
      </c>
      <c r="AE14" s="376">
        <f t="shared" si="15"/>
        <v>0.7586428767625083</v>
      </c>
      <c r="AF14" s="372">
        <f>Z14*GBDNZ!$F116/($T14+$W14+$X14+U14+V14)</f>
        <v>41.147620144299474</v>
      </c>
      <c r="AG14" s="376">
        <f t="shared" si="16"/>
        <v>41.147620144299474</v>
      </c>
      <c r="AH14" s="376">
        <f t="shared" si="16"/>
        <v>41.147620144299474</v>
      </c>
      <c r="AI14" s="376">
        <f t="shared" si="16"/>
        <v>41.147620144299474</v>
      </c>
      <c r="AJ14" s="376">
        <f t="shared" si="16"/>
        <v>36.402080764890449</v>
      </c>
      <c r="AK14" s="372">
        <f>GBDNZ!$G116*$Z14/($T14+$W14+$X14+U14+V14)</f>
        <v>222.99160322238259</v>
      </c>
      <c r="AL14" s="376">
        <f t="shared" si="17"/>
        <v>222.99160322238259</v>
      </c>
      <c r="AM14" s="376">
        <f t="shared" si="17"/>
        <v>222.99160322238259</v>
      </c>
      <c r="AN14" s="376">
        <f t="shared" si="17"/>
        <v>222.99160322238259</v>
      </c>
      <c r="AO14" s="376">
        <f t="shared" si="17"/>
        <v>197.27406644484014</v>
      </c>
      <c r="AP14" s="372">
        <f t="shared" si="9"/>
        <v>6.540574034730906E-2</v>
      </c>
      <c r="AQ14" s="372">
        <f t="shared" si="10"/>
        <v>3.138373951088397</v>
      </c>
      <c r="AR14" s="372">
        <f t="shared" si="11"/>
        <v>17.007813244370823</v>
      </c>
      <c r="AS14" s="372">
        <f t="shared" si="18"/>
        <v>20.14618719545922</v>
      </c>
    </row>
    <row r="15" spans="1:45" ht="11.15" customHeight="1" x14ac:dyDescent="0.3">
      <c r="A15" s="364">
        <v>1</v>
      </c>
      <c r="B15" s="364">
        <v>2</v>
      </c>
      <c r="C15" s="364" t="s">
        <v>37</v>
      </c>
      <c r="D15" s="372">
        <f>Scenario!AN31</f>
        <v>0.44144644170812064</v>
      </c>
      <c r="E15" s="372">
        <f>Scenario!AO31</f>
        <v>1.0526969057977646</v>
      </c>
      <c r="F15" s="372">
        <f>Scenario!AP31</f>
        <v>1.9217946382451725</v>
      </c>
      <c r="G15" s="372">
        <f>Scenario!AQ31</f>
        <v>3.5084121661676253</v>
      </c>
      <c r="H15" s="372">
        <f>Scenario!AR31</f>
        <v>8.3663481741911028</v>
      </c>
      <c r="I15" s="373">
        <f t="shared" si="12"/>
        <v>0.1</v>
      </c>
      <c r="J15" s="373">
        <f t="shared" si="1"/>
        <v>0.1</v>
      </c>
      <c r="K15" s="373">
        <f t="shared" si="1"/>
        <v>0.1</v>
      </c>
      <c r="L15" s="373">
        <f t="shared" si="1"/>
        <v>3.5084121661676253</v>
      </c>
      <c r="M15" s="373">
        <f t="shared" si="1"/>
        <v>8.3663481741911028</v>
      </c>
      <c r="N15" s="380">
        <f>'Phy activity RRs'!$M$4</f>
        <v>0.94277975044398532</v>
      </c>
      <c r="O15" s="373">
        <f>IF(('user page'!$R$36=0),$N15^(I15^0.25),IF(('user page'!$R$36=1),$N15^(I15^0.5),IF(('user page'!$R$36=2),$N15^(I15^0.375),IF(('user page'!$R$36=4),$N15^(I15),IF(('user page'!$R$36=3),$N15^(LN(1+I15)),"")))))</f>
        <v>0.98153956255603969</v>
      </c>
      <c r="P15" s="373">
        <f>IF(('user page'!$R$36=0),$N15^(J15^0.25),IF(('user page'!$R$36=1),$N15^(J15^0.5),IF(('user page'!$R$36=2),$N15^(J15^0.375),IF(('user page'!$R$36=4),$N15^(J15),IF(('user page'!$R$36=3),$N15^(LN(1+J15)),"")))))</f>
        <v>0.98153956255603969</v>
      </c>
      <c r="Q15" s="373">
        <f>IF(('user page'!$R$36=0),$N15^(K15^0.25),IF(('user page'!$R$36=1),$N15^(K15^0.5),IF(('user page'!$R$36=2),$N15^(K15^0.375),IF(('user page'!$R$36=4),$N15^(K15),IF(('user page'!$R$36=3),$N15^(LN(1+K15)),"")))))</f>
        <v>0.98153956255603969</v>
      </c>
      <c r="R15" s="373">
        <f>IF(('user page'!$R$36=0),$N15^(L15^0.25),IF(('user page'!$R$36=1),$N15^(L15^0.5),IF(('user page'!$R$36=2),$N15^(L15^0.375),IF(('user page'!$R$36=4),$N15^(L15),IF(('user page'!$R$36=3),$N15^(LN(1+L15)),"")))))</f>
        <v>0.89550590983927281</v>
      </c>
      <c r="S15" s="373">
        <f>IF(('user page'!$R$36=0),$N15^(M15^0.25),IF(('user page'!$R$36=1),$N15^(M15^0.5),IF(('user page'!$R$36=2),$N15^(M15^0.375),IF(('user page'!$R$36=4),$N15^(M15),IF(('user page'!$R$36=3),$N15^(LN(1+M15)),"")))))</f>
        <v>0.84330088631807398</v>
      </c>
      <c r="T15" s="374">
        <f t="shared" si="13"/>
        <v>1</v>
      </c>
      <c r="U15" s="374">
        <f t="shared" si="13"/>
        <v>1</v>
      </c>
      <c r="V15" s="374">
        <f t="shared" si="13"/>
        <v>1</v>
      </c>
      <c r="W15" s="374">
        <f t="shared" si="13"/>
        <v>0.91234825777911022</v>
      </c>
      <c r="X15" s="374">
        <f t="shared" si="13"/>
        <v>0.85916138125092323</v>
      </c>
      <c r="Y15" s="377">
        <f t="shared" si="8"/>
        <v>-1.1338386457151461E-3</v>
      </c>
      <c r="Z15" s="381">
        <f t="shared" si="14"/>
        <v>1.0011338386457151</v>
      </c>
      <c r="AA15" s="372">
        <f>(GBDNZ!$E117*Z15)/($T15+$W15+$X15+U15+V15)</f>
        <v>4.8998589408147604</v>
      </c>
      <c r="AB15" s="376">
        <f t="shared" si="15"/>
        <v>4.8998589408147604</v>
      </c>
      <c r="AC15" s="376">
        <f t="shared" si="15"/>
        <v>4.8998589408147604</v>
      </c>
      <c r="AD15" s="376">
        <f t="shared" si="15"/>
        <v>4.4703777680157426</v>
      </c>
      <c r="AE15" s="376">
        <f t="shared" si="15"/>
        <v>4.2097695755250948</v>
      </c>
      <c r="AF15" s="372">
        <f>Z15*GBDNZ!$F117/($T15+$W15+$X15+U15+V15)</f>
        <v>165.57553431075041</v>
      </c>
      <c r="AG15" s="376">
        <f t="shared" si="16"/>
        <v>165.57553431075041</v>
      </c>
      <c r="AH15" s="376">
        <f t="shared" si="16"/>
        <v>165.57553431075041</v>
      </c>
      <c r="AI15" s="376">
        <f t="shared" si="16"/>
        <v>151.06255025925842</v>
      </c>
      <c r="AJ15" s="376">
        <f t="shared" si="16"/>
        <v>142.25610475978397</v>
      </c>
      <c r="AK15" s="372">
        <f>GBDNZ!$G117*$Z15/($T15+$W15+$X15+U15+V15)</f>
        <v>576.65107156812508</v>
      </c>
      <c r="AL15" s="376">
        <f t="shared" si="17"/>
        <v>576.65107156812508</v>
      </c>
      <c r="AM15" s="376">
        <f t="shared" si="17"/>
        <v>576.65107156812508</v>
      </c>
      <c r="AN15" s="376">
        <f t="shared" si="17"/>
        <v>526.10660049163596</v>
      </c>
      <c r="AO15" s="376">
        <f t="shared" si="17"/>
        <v>495.43633114829532</v>
      </c>
      <c r="AP15" s="372">
        <f t="shared" si="9"/>
        <v>2.6478812085117376E-2</v>
      </c>
      <c r="AQ15" s="372">
        <f t="shared" si="10"/>
        <v>0.89476932129358033</v>
      </c>
      <c r="AR15" s="372">
        <f t="shared" si="11"/>
        <v>3.1162193743064677</v>
      </c>
      <c r="AS15" s="372">
        <f t="shared" si="18"/>
        <v>4.010988695600048</v>
      </c>
    </row>
    <row r="16" spans="1:45" ht="11.15" customHeight="1" x14ac:dyDescent="0.3">
      <c r="A16" s="364">
        <v>1</v>
      </c>
      <c r="B16" s="364">
        <v>2</v>
      </c>
      <c r="C16" s="364" t="s">
        <v>36</v>
      </c>
      <c r="D16" s="372">
        <f>Scenario!AN32</f>
        <v>0.3316861829647314</v>
      </c>
      <c r="E16" s="372">
        <f>Scenario!AO32</f>
        <v>0.79095669488646103</v>
      </c>
      <c r="F16" s="372">
        <f>Scenario!AP32</f>
        <v>1.4439639054177522</v>
      </c>
      <c r="G16" s="372">
        <f>Scenario!AQ32</f>
        <v>2.6360883897045526</v>
      </c>
      <c r="H16" s="372">
        <f>Scenario!AR32</f>
        <v>6.2861580229616978</v>
      </c>
      <c r="I16" s="373">
        <f t="shared" si="12"/>
        <v>0.1</v>
      </c>
      <c r="J16" s="373">
        <f t="shared" si="1"/>
        <v>0.1</v>
      </c>
      <c r="K16" s="373">
        <f t="shared" si="1"/>
        <v>0.1</v>
      </c>
      <c r="L16" s="373">
        <f t="shared" si="1"/>
        <v>2.6360883897045526</v>
      </c>
      <c r="M16" s="373">
        <f t="shared" si="1"/>
        <v>6.2861580229616978</v>
      </c>
      <c r="N16" s="380">
        <f>'Phy activity RRs'!$M$4</f>
        <v>0.94277975044398532</v>
      </c>
      <c r="O16" s="373">
        <f>IF(('user page'!$R$36=0),$N16^(I16^0.25),IF(('user page'!$R$36=1),$N16^(I16^0.5),IF(('user page'!$R$36=2),$N16^(I16^0.375),IF(('user page'!$R$36=4),$N16^(I16),IF(('user page'!$R$36=3),$N16^(LN(1+I16)),"")))))</f>
        <v>0.98153956255603969</v>
      </c>
      <c r="P16" s="373">
        <f>IF(('user page'!$R$36=0),$N16^(J16^0.25),IF(('user page'!$R$36=1),$N16^(J16^0.5),IF(('user page'!$R$36=2),$N16^(J16^0.375),IF(('user page'!$R$36=4),$N16^(J16),IF(('user page'!$R$36=3),$N16^(LN(1+J16)),"")))))</f>
        <v>0.98153956255603969</v>
      </c>
      <c r="Q16" s="373">
        <f>IF(('user page'!$R$36=0),$N16^(K16^0.25),IF(('user page'!$R$36=1),$N16^(K16^0.5),IF(('user page'!$R$36=2),$N16^(K16^0.375),IF(('user page'!$R$36=4),$N16^(K16),IF(('user page'!$R$36=3),$N16^(LN(1+K16)),"")))))</f>
        <v>0.98153956255603969</v>
      </c>
      <c r="R16" s="373">
        <f>IF(('user page'!$R$36=0),$N16^(L16^0.25),IF(('user page'!$R$36=1),$N16^(L16^0.5),IF(('user page'!$R$36=2),$N16^(L16^0.375),IF(('user page'!$R$36=4),$N16^(L16),IF(('user page'!$R$36=3),$N16^(LN(1+L16)),"")))))</f>
        <v>0.9087666590782818</v>
      </c>
      <c r="S16" s="373">
        <f>IF(('user page'!$R$36=0),$N16^(M16^0.25),IF(('user page'!$R$36=1),$N16^(M16^0.5),IF(('user page'!$R$36=2),$N16^(M16^0.375),IF(('user page'!$R$36=4),$N16^(M16),IF(('user page'!$R$36=3),$N16^(LN(1+M16)),"")))))</f>
        <v>0.86266231543553995</v>
      </c>
      <c r="T16" s="374">
        <f t="shared" si="13"/>
        <v>1</v>
      </c>
      <c r="U16" s="374">
        <f t="shared" si="13"/>
        <v>1</v>
      </c>
      <c r="V16" s="374">
        <f t="shared" si="13"/>
        <v>1</v>
      </c>
      <c r="W16" s="374">
        <f t="shared" si="13"/>
        <v>0.9258584103444093</v>
      </c>
      <c r="X16" s="374">
        <f t="shared" si="13"/>
        <v>0.87888695305268183</v>
      </c>
      <c r="Y16" s="377">
        <f t="shared" si="8"/>
        <v>-1.552749634753825E-3</v>
      </c>
      <c r="Z16" s="381">
        <f t="shared" si="14"/>
        <v>1.0015527496347538</v>
      </c>
      <c r="AA16" s="372">
        <f>(GBDNZ!$E118*Z16)/($T16+$W16+$X16+U16+V16)</f>
        <v>9.7826096773573834</v>
      </c>
      <c r="AB16" s="376">
        <f t="shared" si="15"/>
        <v>9.7826096773573834</v>
      </c>
      <c r="AC16" s="376">
        <f t="shared" si="15"/>
        <v>9.7826096773573834</v>
      </c>
      <c r="AD16" s="376">
        <f t="shared" si="15"/>
        <v>9.057311444897941</v>
      </c>
      <c r="AE16" s="376">
        <f t="shared" si="15"/>
        <v>8.5978080122363103</v>
      </c>
      <c r="AF16" s="372">
        <f>Z16*GBDNZ!$F118/($T16+$W16+$X16+U16+V16)</f>
        <v>229.37875301727323</v>
      </c>
      <c r="AG16" s="376">
        <f t="shared" si="16"/>
        <v>229.37875301727323</v>
      </c>
      <c r="AH16" s="376">
        <f t="shared" si="16"/>
        <v>229.37875301727323</v>
      </c>
      <c r="AI16" s="376">
        <f t="shared" si="16"/>
        <v>212.37224763535548</v>
      </c>
      <c r="AJ16" s="376">
        <f t="shared" si="16"/>
        <v>201.59799333437491</v>
      </c>
      <c r="AK16" s="372">
        <f>GBDNZ!$G118*$Z16/($T16+$W16+$X16+U16+V16)</f>
        <v>459.03875105629328</v>
      </c>
      <c r="AL16" s="376">
        <f t="shared" si="17"/>
        <v>459.03875105629328</v>
      </c>
      <c r="AM16" s="376">
        <f t="shared" si="17"/>
        <v>459.03875105629328</v>
      </c>
      <c r="AN16" s="376">
        <f t="shared" si="17"/>
        <v>425.00488833946275</v>
      </c>
      <c r="AO16" s="376">
        <f t="shared" si="17"/>
        <v>403.44316924897413</v>
      </c>
      <c r="AP16" s="372">
        <f t="shared" si="9"/>
        <v>7.2870661206398069E-2</v>
      </c>
      <c r="AQ16" s="372">
        <f t="shared" si="10"/>
        <v>1.7086423715501553</v>
      </c>
      <c r="AR16" s="372">
        <f t="shared" si="11"/>
        <v>3.4193797373168877</v>
      </c>
      <c r="AS16" s="372">
        <f t="shared" si="18"/>
        <v>5.128022108867043</v>
      </c>
    </row>
    <row r="17" spans="1:45" ht="11.15" customHeight="1" x14ac:dyDescent="0.3">
      <c r="A17" s="364">
        <v>1</v>
      </c>
      <c r="B17" s="364">
        <v>2</v>
      </c>
      <c r="C17" s="364" t="s">
        <v>35</v>
      </c>
      <c r="D17" s="372">
        <f>Scenario!AN33</f>
        <v>0.28952396631326538</v>
      </c>
      <c r="E17" s="372">
        <f>Scenario!AO33</f>
        <v>0.69041440749405425</v>
      </c>
      <c r="F17" s="372">
        <f>Scenario!AP33</f>
        <v>1.2604147491853572</v>
      </c>
      <c r="G17" s="372">
        <f>Scenario!AQ33</f>
        <v>2.3010025902127014</v>
      </c>
      <c r="H17" s="372">
        <f>Scenario!AR33</f>
        <v>5.4870944198279963</v>
      </c>
      <c r="I17" s="373">
        <f t="shared" si="12"/>
        <v>0.1</v>
      </c>
      <c r="J17" s="373">
        <f t="shared" si="1"/>
        <v>0.1</v>
      </c>
      <c r="K17" s="373">
        <f t="shared" si="1"/>
        <v>0.1</v>
      </c>
      <c r="L17" s="373">
        <f t="shared" si="1"/>
        <v>0.1</v>
      </c>
      <c r="M17" s="373">
        <f t="shared" si="1"/>
        <v>5.4870944198279963</v>
      </c>
      <c r="N17" s="380">
        <f>'Phy activity RRs'!$M$4</f>
        <v>0.94277975044398532</v>
      </c>
      <c r="O17" s="373">
        <f>IF(('user page'!$R$36=0),$N17^(I17^0.25),IF(('user page'!$R$36=1),$N17^(I17^0.5),IF(('user page'!$R$36=2),$N17^(I17^0.375),IF(('user page'!$R$36=4),$N17^(I17),IF(('user page'!$R$36=3),$N17^(LN(1+I17)),"")))))</f>
        <v>0.98153956255603969</v>
      </c>
      <c r="P17" s="373">
        <f>IF(('user page'!$R$36=0),$N17^(J17^0.25),IF(('user page'!$R$36=1),$N17^(J17^0.5),IF(('user page'!$R$36=2),$N17^(J17^0.375),IF(('user page'!$R$36=4),$N17^(J17),IF(('user page'!$R$36=3),$N17^(LN(1+J17)),"")))))</f>
        <v>0.98153956255603969</v>
      </c>
      <c r="Q17" s="373">
        <f>IF(('user page'!$R$36=0),$N17^(K17^0.25),IF(('user page'!$R$36=1),$N17^(K17^0.5),IF(('user page'!$R$36=2),$N17^(K17^0.375),IF(('user page'!$R$36=4),$N17^(K17),IF(('user page'!$R$36=3),$N17^(LN(1+K17)),"")))))</f>
        <v>0.98153956255603969</v>
      </c>
      <c r="R17" s="373">
        <f>IF(('user page'!$R$36=0),$N17^(L17^0.25),IF(('user page'!$R$36=1),$N17^(L17^0.5),IF(('user page'!$R$36=2),$N17^(L17^0.375),IF(('user page'!$R$36=4),$N17^(L17),IF(('user page'!$R$36=3),$N17^(LN(1+L17)),"")))))</f>
        <v>0.98153956255603969</v>
      </c>
      <c r="S17" s="373">
        <f>IF(('user page'!$R$36=0),$N17^(M17^0.25),IF(('user page'!$R$36=1),$N17^(M17^0.5),IF(('user page'!$R$36=2),$N17^(M17^0.375),IF(('user page'!$R$36=4),$N17^(M17),IF(('user page'!$R$36=3),$N17^(LN(1+M17)),"")))))</f>
        <v>0.87107822629177567</v>
      </c>
      <c r="T17" s="374">
        <f t="shared" si="13"/>
        <v>1</v>
      </c>
      <c r="U17" s="374">
        <f t="shared" si="13"/>
        <v>1</v>
      </c>
      <c r="V17" s="374">
        <f t="shared" si="13"/>
        <v>1</v>
      </c>
      <c r="W17" s="374">
        <f t="shared" si="13"/>
        <v>1</v>
      </c>
      <c r="X17" s="374">
        <f t="shared" si="13"/>
        <v>0.887461147285179</v>
      </c>
      <c r="Y17" s="377">
        <f t="shared" si="8"/>
        <v>-7.6347967803380712E-4</v>
      </c>
      <c r="Z17" s="381">
        <f t="shared" si="14"/>
        <v>1.0007634796780338</v>
      </c>
      <c r="AA17" s="372">
        <f>(GBDNZ!$E119*Z17)/($T17+$W17+$X17+U17+V17)</f>
        <v>14.490351943355673</v>
      </c>
      <c r="AB17" s="376">
        <f t="shared" si="15"/>
        <v>14.490351943355673</v>
      </c>
      <c r="AC17" s="376">
        <f t="shared" si="15"/>
        <v>14.490351943355673</v>
      </c>
      <c r="AD17" s="376">
        <f t="shared" si="15"/>
        <v>14.490351943355673</v>
      </c>
      <c r="AE17" s="376">
        <f t="shared" si="15"/>
        <v>12.859624360216449</v>
      </c>
      <c r="AF17" s="372">
        <f>Z17*GBDNZ!$F119/($T17+$W17+$X17+U17+V17)</f>
        <v>218.88114790122037</v>
      </c>
      <c r="AG17" s="376">
        <f t="shared" si="16"/>
        <v>218.88114790122037</v>
      </c>
      <c r="AH17" s="376">
        <f t="shared" si="16"/>
        <v>218.88114790122037</v>
      </c>
      <c r="AI17" s="376">
        <f t="shared" si="16"/>
        <v>218.88114790122037</v>
      </c>
      <c r="AJ17" s="376">
        <f t="shared" si="16"/>
        <v>194.24851463551397</v>
      </c>
      <c r="AK17" s="372">
        <f>GBDNZ!$G119*$Z17/($T17+$W17+$X17+U17+V17)</f>
        <v>346.32503190072094</v>
      </c>
      <c r="AL17" s="376">
        <f t="shared" si="17"/>
        <v>346.32503190072094</v>
      </c>
      <c r="AM17" s="376">
        <f t="shared" si="17"/>
        <v>346.32503190072094</v>
      </c>
      <c r="AN17" s="376">
        <f t="shared" si="17"/>
        <v>346.32503190072094</v>
      </c>
      <c r="AO17" s="376">
        <f t="shared" si="17"/>
        <v>307.35001014419004</v>
      </c>
      <c r="AP17" s="372">
        <f t="shared" si="9"/>
        <v>5.4029168639136316E-2</v>
      </c>
      <c r="AQ17" s="372">
        <f t="shared" si="10"/>
        <v>0.81612693039551232</v>
      </c>
      <c r="AR17" s="372">
        <f t="shared" si="11"/>
        <v>1.2913180870738188</v>
      </c>
      <c r="AS17" s="372">
        <f t="shared" si="18"/>
        <v>2.1074450174693311</v>
      </c>
    </row>
    <row r="18" spans="1:45" ht="11.15" customHeight="1" x14ac:dyDescent="0.3">
      <c r="A18" s="364">
        <v>1</v>
      </c>
      <c r="B18" s="364">
        <v>2</v>
      </c>
      <c r="C18" s="364" t="s">
        <v>34</v>
      </c>
      <c r="D18" s="372">
        <f>Scenario!AN34</f>
        <v>0.16944759244251412</v>
      </c>
      <c r="E18" s="372">
        <f>Scenario!AO34</f>
        <v>0.40407383411883097</v>
      </c>
      <c r="F18" s="372">
        <f>Scenario!AP34</f>
        <v>0.73767380106076064</v>
      </c>
      <c r="G18" s="372">
        <f>Scenario!AQ34</f>
        <v>1.346691101536166</v>
      </c>
      <c r="H18" s="372">
        <f>Scenario!AR34</f>
        <v>3.211391964486249</v>
      </c>
      <c r="I18" s="373">
        <f t="shared" si="12"/>
        <v>0.1</v>
      </c>
      <c r="J18" s="373">
        <f t="shared" si="1"/>
        <v>0.1</v>
      </c>
      <c r="K18" s="373">
        <f t="shared" si="1"/>
        <v>0.1</v>
      </c>
      <c r="L18" s="373">
        <f t="shared" si="1"/>
        <v>0.1</v>
      </c>
      <c r="M18" s="373">
        <f t="shared" si="1"/>
        <v>3.211391964486249</v>
      </c>
      <c r="N18" s="380">
        <f>'Phy activity RRs'!$M$4</f>
        <v>0.94277975044398532</v>
      </c>
      <c r="O18" s="373">
        <f>IF(('user page'!$R$36=0),$N18^(I18^0.25),IF(('user page'!$R$36=1),$N18^(I18^0.5),IF(('user page'!$R$36=2),$N18^(I18^0.375),IF(('user page'!$R$36=4),$N18^(I18),IF(('user page'!$R$36=3),$N18^(LN(1+I18)),"")))))</f>
        <v>0.98153956255603969</v>
      </c>
      <c r="P18" s="373">
        <f>IF(('user page'!$R$36=0),$N18^(J18^0.25),IF(('user page'!$R$36=1),$N18^(J18^0.5),IF(('user page'!$R$36=2),$N18^(J18^0.375),IF(('user page'!$R$36=4),$N18^(J18),IF(('user page'!$R$36=3),$N18^(LN(1+J18)),"")))))</f>
        <v>0.98153956255603969</v>
      </c>
      <c r="Q18" s="373">
        <f>IF(('user page'!$R$36=0),$N18^(K18^0.25),IF(('user page'!$R$36=1),$N18^(K18^0.5),IF(('user page'!$R$36=2),$N18^(K18^0.375),IF(('user page'!$R$36=4),$N18^(K18),IF(('user page'!$R$36=3),$N18^(LN(1+K18)),"")))))</f>
        <v>0.98153956255603969</v>
      </c>
      <c r="R18" s="373">
        <f>IF(('user page'!$R$36=0),$N18^(L18^0.25),IF(('user page'!$R$36=1),$N18^(L18^0.5),IF(('user page'!$R$36=2),$N18^(L18^0.375),IF(('user page'!$R$36=4),$N18^(L18),IF(('user page'!$R$36=3),$N18^(LN(1+L18)),"")))))</f>
        <v>0.98153956255603969</v>
      </c>
      <c r="S18" s="373">
        <f>IF(('user page'!$R$36=0),$N18^(M18^0.25),IF(('user page'!$R$36=1),$N18^(M18^0.5),IF(('user page'!$R$36=2),$N18^(M18^0.375),IF(('user page'!$R$36=4),$N18^(M18),IF(('user page'!$R$36=3),$N18^(LN(1+M18)),"")))))</f>
        <v>0.89979224756714915</v>
      </c>
      <c r="T18" s="374">
        <f t="shared" si="13"/>
        <v>1</v>
      </c>
      <c r="U18" s="374">
        <f t="shared" si="13"/>
        <v>1</v>
      </c>
      <c r="V18" s="374">
        <f t="shared" si="13"/>
        <v>1</v>
      </c>
      <c r="W18" s="374">
        <f t="shared" si="13"/>
        <v>1</v>
      </c>
      <c r="X18" s="374">
        <f t="shared" si="13"/>
        <v>0.91671521138077072</v>
      </c>
      <c r="Y18" s="377">
        <f t="shared" si="8"/>
        <v>-6.8196146655297163E-4</v>
      </c>
      <c r="Z18" s="381">
        <f t="shared" si="14"/>
        <v>1.000681961466553</v>
      </c>
      <c r="AA18" s="372">
        <f>(GBDNZ!$E120*Z18)/($T18+$W18+$X18+U18+V18)</f>
        <v>38.140054726043374</v>
      </c>
      <c r="AB18" s="376">
        <f t="shared" si="15"/>
        <v>38.140054726043374</v>
      </c>
      <c r="AC18" s="376">
        <f t="shared" si="15"/>
        <v>38.140054726043374</v>
      </c>
      <c r="AD18" s="376">
        <f t="shared" si="15"/>
        <v>38.140054726043374</v>
      </c>
      <c r="AE18" s="376">
        <f t="shared" si="15"/>
        <v>34.963568330259015</v>
      </c>
      <c r="AF18" s="372">
        <f>Z18*GBDNZ!$F120/($T18+$W18+$X18+U18+V18)</f>
        <v>217.797282192442</v>
      </c>
      <c r="AG18" s="376">
        <f t="shared" si="16"/>
        <v>217.797282192442</v>
      </c>
      <c r="AH18" s="376">
        <f t="shared" si="16"/>
        <v>217.797282192442</v>
      </c>
      <c r="AI18" s="376">
        <f t="shared" si="16"/>
        <v>217.797282192442</v>
      </c>
      <c r="AJ18" s="376">
        <f t="shared" si="16"/>
        <v>199.65808158320183</v>
      </c>
      <c r="AK18" s="372">
        <f>GBDNZ!$G120*$Z18/($T18+$W18+$X18+U18+V18)</f>
        <v>245.92255938083187</v>
      </c>
      <c r="AL18" s="376">
        <f t="shared" si="17"/>
        <v>245.92255938083187</v>
      </c>
      <c r="AM18" s="376">
        <f t="shared" si="17"/>
        <v>245.92255938083187</v>
      </c>
      <c r="AN18" s="376">
        <f t="shared" si="17"/>
        <v>245.92255938083187</v>
      </c>
      <c r="AO18" s="376">
        <f t="shared" si="17"/>
        <v>225.44095100609943</v>
      </c>
      <c r="AP18" s="372">
        <f t="shared" si="9"/>
        <v>0.12779684443248129</v>
      </c>
      <c r="AQ18" s="372">
        <f t="shared" si="10"/>
        <v>0.72977885296964473</v>
      </c>
      <c r="AR18" s="372">
        <f t="shared" si="11"/>
        <v>0.82401892942692712</v>
      </c>
      <c r="AS18" s="372">
        <f t="shared" si="18"/>
        <v>1.5537977823965718</v>
      </c>
    </row>
    <row r="19" spans="1:45" ht="11.15" customHeight="1" x14ac:dyDescent="0.3">
      <c r="A19" s="364"/>
      <c r="B19" s="364"/>
      <c r="C19" s="364"/>
      <c r="D19" s="372"/>
      <c r="E19" s="372"/>
      <c r="F19" s="372"/>
      <c r="G19" s="372"/>
      <c r="H19" s="372"/>
      <c r="I19" s="373"/>
      <c r="J19" s="373"/>
      <c r="K19" s="373"/>
      <c r="L19" s="373"/>
      <c r="M19" s="373"/>
      <c r="N19" s="373"/>
      <c r="O19" s="373"/>
      <c r="P19" s="373"/>
      <c r="Q19" s="373"/>
      <c r="R19" s="373"/>
      <c r="S19" s="373"/>
      <c r="T19" s="374"/>
      <c r="U19" s="374"/>
      <c r="V19" s="374"/>
      <c r="W19" s="374"/>
      <c r="X19" s="374"/>
      <c r="Y19" s="374"/>
      <c r="Z19" s="376"/>
      <c r="AA19" s="372"/>
      <c r="AB19" s="376"/>
      <c r="AC19" s="376"/>
      <c r="AD19" s="376"/>
      <c r="AE19" s="376"/>
      <c r="AF19" s="372"/>
      <c r="AG19" s="376"/>
      <c r="AH19" s="376"/>
      <c r="AI19" s="376"/>
      <c r="AJ19" s="376"/>
      <c r="AK19" s="372"/>
      <c r="AL19" s="376"/>
      <c r="AM19" s="376"/>
      <c r="AN19" s="376"/>
      <c r="AO19" s="376"/>
      <c r="AP19" s="383">
        <f>SUM(AP3:AP18)</f>
        <v>0.78820155368348899</v>
      </c>
      <c r="AQ19" s="383">
        <f>SUM(AQ3:AQ18)</f>
        <v>14.276302713580604</v>
      </c>
      <c r="AR19" s="383">
        <f>SUM(AR3:AR18)</f>
        <v>35.08313509910333</v>
      </c>
      <c r="AS19" s="383">
        <f>SUM(AS3:AS18)</f>
        <v>49.359437812683936</v>
      </c>
    </row>
    <row r="20" spans="1:45" ht="11.15" customHeight="1" x14ac:dyDescent="0.3">
      <c r="A20" s="364">
        <v>0</v>
      </c>
      <c r="B20" s="364">
        <v>1</v>
      </c>
      <c r="C20" s="364" t="s">
        <v>2</v>
      </c>
      <c r="D20" s="372"/>
      <c r="E20" s="372"/>
      <c r="F20" s="372"/>
      <c r="G20" s="372"/>
      <c r="H20" s="372"/>
      <c r="I20" s="373"/>
      <c r="J20" s="373"/>
      <c r="K20" s="373"/>
      <c r="L20" s="373"/>
      <c r="M20" s="373"/>
      <c r="N20" s="373"/>
      <c r="O20" s="373"/>
      <c r="P20" s="373"/>
      <c r="Q20" s="373"/>
      <c r="R20" s="373"/>
      <c r="S20" s="373"/>
      <c r="T20" s="374"/>
      <c r="U20" s="374"/>
      <c r="V20" s="374"/>
      <c r="W20" s="374"/>
      <c r="X20" s="374"/>
      <c r="Y20" s="374"/>
      <c r="Z20" s="376"/>
      <c r="AA20" s="372"/>
      <c r="AB20" s="376"/>
      <c r="AC20" s="376"/>
      <c r="AD20" s="376"/>
      <c r="AE20" s="376"/>
      <c r="AF20" s="372"/>
      <c r="AG20" s="376"/>
      <c r="AH20" s="376"/>
      <c r="AI20" s="376"/>
      <c r="AJ20" s="376"/>
      <c r="AK20" s="372"/>
      <c r="AL20" s="376"/>
      <c r="AM20" s="376"/>
      <c r="AN20" s="376"/>
      <c r="AO20" s="376"/>
      <c r="AP20" s="32">
        <f>AP19/GBDNZ!E121</f>
        <v>1.0789727800285104E-3</v>
      </c>
      <c r="AQ20" s="32">
        <f>AQ19/GBDNZ!F121</f>
        <v>1.3383861605330903E-3</v>
      </c>
      <c r="AR20" s="32">
        <f>AR19/GBDNZ!G121</f>
        <v>1.8382215496598711E-3</v>
      </c>
      <c r="AS20" s="32">
        <f>AS19/GBDNZ!H121</f>
        <v>1.659019639262147E-3</v>
      </c>
    </row>
    <row r="21" spans="1:45" ht="11.15" customHeight="1" x14ac:dyDescent="0.3">
      <c r="A21" s="364">
        <v>0</v>
      </c>
      <c r="B21" s="364">
        <v>1</v>
      </c>
      <c r="C21" s="364" t="s">
        <v>40</v>
      </c>
      <c r="D21" s="372"/>
      <c r="E21" s="372"/>
      <c r="F21" s="372"/>
      <c r="G21" s="372"/>
      <c r="H21" s="372"/>
      <c r="I21" s="373"/>
      <c r="J21" s="373"/>
      <c r="K21" s="373"/>
      <c r="L21" s="373"/>
      <c r="M21" s="373"/>
      <c r="N21" s="373"/>
      <c r="O21" s="373"/>
      <c r="P21" s="373"/>
      <c r="Q21" s="373"/>
      <c r="R21" s="373"/>
      <c r="S21" s="373"/>
      <c r="T21" s="374"/>
      <c r="U21" s="374"/>
      <c r="V21" s="374"/>
      <c r="W21" s="374"/>
      <c r="X21" s="374"/>
      <c r="Y21" s="374"/>
      <c r="Z21" s="376"/>
      <c r="AA21" s="372"/>
      <c r="AB21" s="376"/>
      <c r="AC21" s="376"/>
      <c r="AD21" s="376"/>
      <c r="AE21" s="376"/>
      <c r="AF21" s="372"/>
      <c r="AG21" s="376"/>
      <c r="AH21" s="376"/>
      <c r="AI21" s="376"/>
      <c r="AJ21" s="376"/>
      <c r="AK21" s="372"/>
      <c r="AL21" s="376"/>
      <c r="AM21" s="376"/>
      <c r="AN21" s="376"/>
      <c r="AO21" s="376"/>
      <c r="AP21" s="373"/>
      <c r="AQ21" s="373"/>
      <c r="AR21" s="373"/>
      <c r="AS21" s="373"/>
    </row>
    <row r="22" spans="1:45" ht="11.15" customHeight="1" x14ac:dyDescent="0.3">
      <c r="A22" s="364">
        <v>0</v>
      </c>
      <c r="B22" s="364">
        <v>1</v>
      </c>
      <c r="C22" s="364" t="s">
        <v>39</v>
      </c>
      <c r="D22" s="372">
        <f>Baseline!AN21</f>
        <v>0.39368586167290764</v>
      </c>
      <c r="E22" s="372">
        <f>Baseline!AO21</f>
        <v>0.93738511466315355</v>
      </c>
      <c r="F22" s="372">
        <f>Baseline!AP21</f>
        <v>1.7094900770477317</v>
      </c>
      <c r="G22" s="372">
        <f>Baseline!AQ21</f>
        <v>3.117562118078649</v>
      </c>
      <c r="H22" s="372">
        <f>Baseline!AR21</f>
        <v>7.4230664802300845</v>
      </c>
      <c r="I22" s="373">
        <f t="shared" ref="I22:M27" si="19">IF(D22&gt;2.5,D22,0.1)</f>
        <v>0.1</v>
      </c>
      <c r="J22" s="373">
        <f t="shared" si="19"/>
        <v>0.1</v>
      </c>
      <c r="K22" s="373">
        <f t="shared" si="19"/>
        <v>0.1</v>
      </c>
      <c r="L22" s="373">
        <f t="shared" si="19"/>
        <v>3.117562118078649</v>
      </c>
      <c r="M22" s="373">
        <f t="shared" si="19"/>
        <v>7.4230664802300845</v>
      </c>
      <c r="N22" s="380">
        <f t="shared" ref="N22:N27" si="20">N5</f>
        <v>0.94277975044398532</v>
      </c>
      <c r="O22" s="373">
        <f>IF(('user page'!$R$36=0),$N22^(I22^0.25),IF(('user page'!$R$36=1),$N22^(I22^0.5),IF(('user page'!$R$36=2),$N22^(I22^0.375),IF(('user page'!$R$36=4),$N22^(I22),IF(('user page'!$R$36=3),$N22^(LN(1+I22)),"")))))</f>
        <v>0.98153956255603969</v>
      </c>
      <c r="P22" s="373">
        <f>IF(('user page'!$R$36=0),$N22^(J22^0.25),IF(('user page'!$R$36=1),$N22^(J22^0.5),IF(('user page'!$R$36=2),$N22^(J22^0.375),IF(('user page'!$R$36=4),$N22^(J22),IF(('user page'!$R$36=3),$N22^(LN(1+J22)),"")))))</f>
        <v>0.98153956255603969</v>
      </c>
      <c r="Q22" s="373">
        <f>IF(('user page'!$R$36=0),$N22^(K22^0.25),IF(('user page'!$R$36=1),$N22^(K22^0.5),IF(('user page'!$R$36=2),$N22^(K22^0.375),IF(('user page'!$R$36=4),$N22^(K22),IF(('user page'!$R$36=3),$N22^(LN(1+K22)),"")))))</f>
        <v>0.98153956255603969</v>
      </c>
      <c r="R22" s="373">
        <f>IF(('user page'!$R$36=0),$N22^(L22^0.25),IF(('user page'!$R$36=1),$N22^(L22^0.5),IF(('user page'!$R$36=2),$N22^(L22^0.375),IF(('user page'!$R$36=4),$N22^(L22),IF(('user page'!$R$36=3),$N22^(LN(1+L22)),"")))))</f>
        <v>0.90119162062655678</v>
      </c>
      <c r="S22" s="373">
        <f>IF(('user page'!$R$36=0),$N22^(M22^0.25),IF(('user page'!$R$36=1),$N22^(M22^0.5),IF(('user page'!$R$36=2),$N22^(M22^0.375),IF(('user page'!$R$36=4),$N22^(M22),IF(('user page'!$R$36=3),$N22^(LN(1+M22)),"")))))</f>
        <v>0.85168683543439827</v>
      </c>
      <c r="T22" s="374">
        <f t="shared" ref="T22:X27" si="21">O22/$O22</f>
        <v>1</v>
      </c>
      <c r="U22" s="374">
        <f t="shared" si="21"/>
        <v>1</v>
      </c>
      <c r="V22" s="374">
        <f t="shared" si="21"/>
        <v>1</v>
      </c>
      <c r="W22" s="374">
        <f t="shared" si="21"/>
        <v>0.91814090333735732</v>
      </c>
      <c r="X22" s="374">
        <f t="shared" si="21"/>
        <v>0.86770505023405242</v>
      </c>
      <c r="Y22" s="374"/>
      <c r="Z22" s="376"/>
      <c r="AA22" s="372">
        <f>GBDNZ!E107/($T22+$W22+$X22+U22+V22)</f>
        <v>0.29917995332288244</v>
      </c>
      <c r="AB22" s="376">
        <f t="shared" ref="AB22:AE27" si="22">$AA22*U22</f>
        <v>0.29917995332288244</v>
      </c>
      <c r="AC22" s="376">
        <f t="shared" si="22"/>
        <v>0.29917995332288244</v>
      </c>
      <c r="AD22" s="376">
        <f t="shared" si="22"/>
        <v>0.27468935260429966</v>
      </c>
      <c r="AE22" s="376">
        <f t="shared" si="22"/>
        <v>0.25959995642705319</v>
      </c>
      <c r="AF22" s="372">
        <f>GBDNZ!F107/($T22+$W22+$X22+U22+V22)</f>
        <v>18.480608235206187</v>
      </c>
      <c r="AG22" s="376">
        <f t="shared" ref="AG22:AI27" si="23">$AF22*U22</f>
        <v>18.480608235206187</v>
      </c>
      <c r="AH22" s="376">
        <f t="shared" si="23"/>
        <v>18.480608235206187</v>
      </c>
      <c r="AI22" s="376">
        <f t="shared" si="23"/>
        <v>16.967802339296014</v>
      </c>
      <c r="AJ22" s="376">
        <f t="shared" ref="AJ22:AJ27" si="24">AF22*X22</f>
        <v>16.035717097085428</v>
      </c>
      <c r="AK22" s="372">
        <f>GBDNZ!G107/($T22+$W22+$X22+U22+V22)</f>
        <v>71.228874062194265</v>
      </c>
      <c r="AL22" s="376">
        <f t="shared" ref="AL22:AO27" si="25">U22*$AK22</f>
        <v>71.228874062194265</v>
      </c>
      <c r="AM22" s="376">
        <f t="shared" si="25"/>
        <v>71.228874062194265</v>
      </c>
      <c r="AN22" s="376">
        <f t="shared" si="25"/>
        <v>65.398142775165908</v>
      </c>
      <c r="AO22" s="376">
        <f t="shared" si="25"/>
        <v>61.805653746251267</v>
      </c>
      <c r="AP22" s="373"/>
      <c r="AQ22" s="373"/>
      <c r="AR22" s="373"/>
      <c r="AS22" s="373"/>
    </row>
    <row r="23" spans="1:45" ht="11.15" customHeight="1" x14ac:dyDescent="0.3">
      <c r="A23" s="364">
        <v>0</v>
      </c>
      <c r="B23" s="364">
        <v>1</v>
      </c>
      <c r="C23" s="364" t="s">
        <v>38</v>
      </c>
      <c r="D23" s="372">
        <f>Baseline!AN22</f>
        <v>0.25162211131265011</v>
      </c>
      <c r="E23" s="372">
        <f>Baseline!AO22</f>
        <v>0.59912444064491777</v>
      </c>
      <c r="F23" s="372">
        <f>Baseline!AP22</f>
        <v>1.092610998594</v>
      </c>
      <c r="G23" s="372">
        <f>Baseline!AQ22</f>
        <v>1.9925723493495484</v>
      </c>
      <c r="H23" s="372">
        <f>Baseline!AR22</f>
        <v>4.7444113238730328</v>
      </c>
      <c r="I23" s="373">
        <f t="shared" si="19"/>
        <v>0.1</v>
      </c>
      <c r="J23" s="373">
        <f t="shared" si="19"/>
        <v>0.1</v>
      </c>
      <c r="K23" s="373">
        <f t="shared" si="19"/>
        <v>0.1</v>
      </c>
      <c r="L23" s="373">
        <f t="shared" si="19"/>
        <v>0.1</v>
      </c>
      <c r="M23" s="373">
        <f t="shared" si="19"/>
        <v>4.7444113238730328</v>
      </c>
      <c r="N23" s="380">
        <f t="shared" si="20"/>
        <v>0.94277975044398532</v>
      </c>
      <c r="O23" s="373">
        <f>IF(('user page'!$R$36=0),$N23^(I23^0.25),IF(('user page'!$R$36=1),$N23^(I23^0.5),IF(('user page'!$R$36=2),$N23^(I23^0.375),IF(('user page'!$R$36=4),$N23^(I23),IF(('user page'!$R$36=3),$N23^(LN(1+I23)),"")))))</f>
        <v>0.98153956255603969</v>
      </c>
      <c r="P23" s="373">
        <f>IF(('user page'!$R$36=0),$N23^(J23^0.25),IF(('user page'!$R$36=1),$N23^(J23^0.5),IF(('user page'!$R$36=2),$N23^(J23^0.375),IF(('user page'!$R$36=4),$N23^(J23),IF(('user page'!$R$36=3),$N23^(LN(1+J23)),"")))))</f>
        <v>0.98153956255603969</v>
      </c>
      <c r="Q23" s="373">
        <f>IF(('user page'!$R$36=0),$N23^(K23^0.25),IF(('user page'!$R$36=1),$N23^(K23^0.5),IF(('user page'!$R$36=2),$N23^(K23^0.375),IF(('user page'!$R$36=4),$N23^(K23),IF(('user page'!$R$36=3),$N23^(LN(1+K23)),"")))))</f>
        <v>0.98153956255603969</v>
      </c>
      <c r="R23" s="373">
        <f>IF(('user page'!$R$36=0),$N23^(L23^0.25),IF(('user page'!$R$36=1),$N23^(L23^0.5),IF(('user page'!$R$36=2),$N23^(L23^0.375),IF(('user page'!$R$36=4),$N23^(L23),IF(('user page'!$R$36=3),$N23^(LN(1+L23)),"")))))</f>
        <v>0.98153956255603969</v>
      </c>
      <c r="S23" s="373">
        <f>IF(('user page'!$R$36=0),$N23^(M23^0.25),IF(('user page'!$R$36=1),$N23^(M23^0.5),IF(('user page'!$R$36=2),$N23^(M23^0.375),IF(('user page'!$R$36=4),$N23^(M23),IF(('user page'!$R$36=3),$N23^(LN(1+M23)),"")))))</f>
        <v>0.87955143816530812</v>
      </c>
      <c r="T23" s="374">
        <f t="shared" si="21"/>
        <v>1</v>
      </c>
      <c r="U23" s="374">
        <f t="shared" si="21"/>
        <v>1</v>
      </c>
      <c r="V23" s="374">
        <f t="shared" si="21"/>
        <v>1</v>
      </c>
      <c r="W23" s="374">
        <f t="shared" si="21"/>
        <v>1</v>
      </c>
      <c r="X23" s="374">
        <f t="shared" si="21"/>
        <v>0.89609372023156864</v>
      </c>
      <c r="Y23" s="374"/>
      <c r="Z23" s="376"/>
      <c r="AA23" s="372">
        <f>GBDNZ!E108/($T23+$W23+$X23+U23+V23)</f>
        <v>1.3534938474352922</v>
      </c>
      <c r="AB23" s="376">
        <f t="shared" si="22"/>
        <v>1.3534938474352922</v>
      </c>
      <c r="AC23" s="376">
        <f t="shared" si="22"/>
        <v>1.3534938474352922</v>
      </c>
      <c r="AD23" s="376">
        <f t="shared" si="22"/>
        <v>1.3534938474352922</v>
      </c>
      <c r="AE23" s="376">
        <f t="shared" si="22"/>
        <v>1.2128573370588303</v>
      </c>
      <c r="AF23" s="372">
        <f>GBDNZ!F108/($T23+$W23+$X23+U23+V23)</f>
        <v>64.537317696005033</v>
      </c>
      <c r="AG23" s="376">
        <f t="shared" si="23"/>
        <v>64.537317696005033</v>
      </c>
      <c r="AH23" s="376">
        <f t="shared" si="23"/>
        <v>64.537317696005033</v>
      </c>
      <c r="AI23" s="376">
        <f t="shared" si="23"/>
        <v>64.537317696005033</v>
      </c>
      <c r="AJ23" s="376">
        <f t="shared" si="24"/>
        <v>57.831485107979795</v>
      </c>
      <c r="AK23" s="372">
        <f>GBDNZ!G108/($T23+$W23+$X23+U23+V23)</f>
        <v>209.38240122403406</v>
      </c>
      <c r="AL23" s="376">
        <f t="shared" si="25"/>
        <v>209.38240122403406</v>
      </c>
      <c r="AM23" s="376">
        <f t="shared" si="25"/>
        <v>209.38240122403406</v>
      </c>
      <c r="AN23" s="376">
        <f t="shared" si="25"/>
        <v>209.38240122403406</v>
      </c>
      <c r="AO23" s="376">
        <f t="shared" si="25"/>
        <v>187.62625486386364</v>
      </c>
      <c r="AP23" s="373"/>
      <c r="AQ23" s="373"/>
      <c r="AR23" s="373"/>
      <c r="AS23" s="373"/>
    </row>
    <row r="24" spans="1:45" ht="11.15" customHeight="1" x14ac:dyDescent="0.3">
      <c r="A24" s="364">
        <v>0</v>
      </c>
      <c r="B24" s="364">
        <v>1</v>
      </c>
      <c r="C24" s="364" t="s">
        <v>37</v>
      </c>
      <c r="D24" s="372">
        <f>Baseline!AN23</f>
        <v>0.44656832716641398</v>
      </c>
      <c r="E24" s="372">
        <f>Baseline!AO23</f>
        <v>1.0633008276878868</v>
      </c>
      <c r="F24" s="372">
        <f>Baseline!AP23</f>
        <v>1.9391199896557647</v>
      </c>
      <c r="G24" s="372">
        <f>Baseline!AQ23</f>
        <v>3.5363334969455225</v>
      </c>
      <c r="H24" s="372">
        <f>Baseline!AR23</f>
        <v>8.4201814269764306</v>
      </c>
      <c r="I24" s="373">
        <f t="shared" si="19"/>
        <v>0.1</v>
      </c>
      <c r="J24" s="373">
        <f t="shared" si="19"/>
        <v>0.1</v>
      </c>
      <c r="K24" s="373">
        <f t="shared" si="19"/>
        <v>0.1</v>
      </c>
      <c r="L24" s="373">
        <f t="shared" si="19"/>
        <v>3.5363334969455225</v>
      </c>
      <c r="M24" s="373">
        <f t="shared" si="19"/>
        <v>8.4201814269764306</v>
      </c>
      <c r="N24" s="380">
        <f t="shared" si="20"/>
        <v>0.94277975044398532</v>
      </c>
      <c r="O24" s="373">
        <f>IF(('user page'!$R$36=0),$N24^(I24^0.25),IF(('user page'!$R$36=1),$N24^(I24^0.5),IF(('user page'!$R$36=2),$N24^(I24^0.375),IF(('user page'!$R$36=4),$N24^(I24),IF(('user page'!$R$36=3),$N24^(LN(1+I24)),"")))))</f>
        <v>0.98153956255603969</v>
      </c>
      <c r="P24" s="373">
        <f>IF(('user page'!$R$36=0),$N24^(J24^0.25),IF(('user page'!$R$36=1),$N24^(J24^0.5),IF(('user page'!$R$36=2),$N24^(J24^0.375),IF(('user page'!$R$36=4),$N24^(J24),IF(('user page'!$R$36=3),$N24^(LN(1+J24)),"")))))</f>
        <v>0.98153956255603969</v>
      </c>
      <c r="Q24" s="373">
        <f>IF(('user page'!$R$36=0),$N24^(K24^0.25),IF(('user page'!$R$36=1),$N24^(K24^0.5),IF(('user page'!$R$36=2),$N24^(K24^0.375),IF(('user page'!$R$36=4),$N24^(K24),IF(('user page'!$R$36=3),$N24^(LN(1+K24)),"")))))</f>
        <v>0.98153956255603969</v>
      </c>
      <c r="R24" s="373">
        <f>IF(('user page'!$R$36=0),$N24^(L24^0.25),IF(('user page'!$R$36=1),$N24^(L24^0.5),IF(('user page'!$R$36=2),$N24^(L24^0.375),IF(('user page'!$R$36=4),$N24^(L24),IF(('user page'!$R$36=3),$N24^(LN(1+L24)),"")))))</f>
        <v>0.89511349592843692</v>
      </c>
      <c r="S24" s="373">
        <f>IF(('user page'!$R$36=0),$N24^(M24^0.25),IF(('user page'!$R$36=1),$N24^(M24^0.5),IF(('user page'!$R$36=2),$N24^(M24^0.375),IF(('user page'!$R$36=4),$N24^(M24),IF(('user page'!$R$36=3),$N24^(LN(1+M24)),"")))))</f>
        <v>0.84283935496415296</v>
      </c>
      <c r="T24" s="374">
        <f t="shared" si="21"/>
        <v>1</v>
      </c>
      <c r="U24" s="374">
        <f t="shared" si="21"/>
        <v>1</v>
      </c>
      <c r="V24" s="374">
        <f t="shared" si="21"/>
        <v>1</v>
      </c>
      <c r="W24" s="374">
        <f t="shared" si="21"/>
        <v>0.91194846349082503</v>
      </c>
      <c r="X24" s="374">
        <f t="shared" si="21"/>
        <v>0.85869116958393832</v>
      </c>
      <c r="Y24" s="374"/>
      <c r="Z24" s="376"/>
      <c r="AA24" s="372">
        <f>GBDNZ!E109/($T24+$W24+$X24+U24+V24)</f>
        <v>9.061053788596352</v>
      </c>
      <c r="AB24" s="376">
        <f t="shared" si="22"/>
        <v>9.061053788596352</v>
      </c>
      <c r="AC24" s="376">
        <f t="shared" si="22"/>
        <v>9.061053788596352</v>
      </c>
      <c r="AD24" s="376">
        <f t="shared" si="22"/>
        <v>8.2632140801181624</v>
      </c>
      <c r="AE24" s="376">
        <f t="shared" si="22"/>
        <v>7.7806468753927769</v>
      </c>
      <c r="AF24" s="372">
        <f>GBDNZ!F109/($T24+$W24+$X24+U24+V24)</f>
        <v>306.60037607939722</v>
      </c>
      <c r="AG24" s="376">
        <f t="shared" si="23"/>
        <v>306.60037607939722</v>
      </c>
      <c r="AH24" s="376">
        <f t="shared" si="23"/>
        <v>306.60037607939722</v>
      </c>
      <c r="AI24" s="376">
        <f t="shared" si="23"/>
        <v>279.60374187131538</v>
      </c>
      <c r="AJ24" s="376">
        <f t="shared" si="24"/>
        <v>263.27503553049297</v>
      </c>
      <c r="AK24" s="372">
        <f>GBDNZ!G109/($T24+$W24+$X24+U24+V24)</f>
        <v>666.33063851045711</v>
      </c>
      <c r="AL24" s="376">
        <f t="shared" si="25"/>
        <v>666.33063851045711</v>
      </c>
      <c r="AM24" s="376">
        <f t="shared" si="25"/>
        <v>666.33063851045711</v>
      </c>
      <c r="AN24" s="376">
        <f t="shared" si="25"/>
        <v>607.65920196647176</v>
      </c>
      <c r="AO24" s="376">
        <f t="shared" si="25"/>
        <v>572.17223531215677</v>
      </c>
      <c r="AP24" s="373"/>
      <c r="AQ24" s="373"/>
      <c r="AR24" s="373"/>
      <c r="AS24" s="373"/>
    </row>
    <row r="25" spans="1:45" ht="11.15" customHeight="1" x14ac:dyDescent="0.3">
      <c r="A25" s="364">
        <v>0</v>
      </c>
      <c r="B25" s="364">
        <v>1</v>
      </c>
      <c r="C25" s="364" t="s">
        <v>36</v>
      </c>
      <c r="D25" s="372">
        <f>Baseline!AN24</f>
        <v>0.42413880257562148</v>
      </c>
      <c r="E25" s="372">
        <f>Baseline!AO24</f>
        <v>1.009895042702271</v>
      </c>
      <c r="F25" s="372">
        <f>Baseline!AP24</f>
        <v>1.8417249509873066</v>
      </c>
      <c r="G25" s="372">
        <f>Baseline!AQ24</f>
        <v>3.3587161553076208</v>
      </c>
      <c r="H25" s="372">
        <f>Baseline!AR24</f>
        <v>7.99726592919881</v>
      </c>
      <c r="I25" s="373">
        <f t="shared" si="19"/>
        <v>0.1</v>
      </c>
      <c r="J25" s="373">
        <f t="shared" si="19"/>
        <v>0.1</v>
      </c>
      <c r="K25" s="373">
        <f t="shared" si="19"/>
        <v>0.1</v>
      </c>
      <c r="L25" s="373">
        <f t="shared" si="19"/>
        <v>3.3587161553076208</v>
      </c>
      <c r="M25" s="373">
        <f t="shared" si="19"/>
        <v>7.99726592919881</v>
      </c>
      <c r="N25" s="380">
        <f t="shared" si="20"/>
        <v>0.94277975044398532</v>
      </c>
      <c r="O25" s="373">
        <f>IF(('user page'!$R$36=0),$N25^(I25^0.25),IF(('user page'!$R$36=1),$N25^(I25^0.5),IF(('user page'!$R$36=2),$N25^(I25^0.375),IF(('user page'!$R$36=4),$N25^(I25),IF(('user page'!$R$36=3),$N25^(LN(1+I25)),"")))))</f>
        <v>0.98153956255603969</v>
      </c>
      <c r="P25" s="373">
        <f>IF(('user page'!$R$36=0),$N25^(J25^0.25),IF(('user page'!$R$36=1),$N25^(J25^0.5),IF(('user page'!$R$36=2),$N25^(J25^0.375),IF(('user page'!$R$36=4),$N25^(J25),IF(('user page'!$R$36=3),$N25^(LN(1+J25)),"")))))</f>
        <v>0.98153956255603969</v>
      </c>
      <c r="Q25" s="373">
        <f>IF(('user page'!$R$36=0),$N25^(K25^0.25),IF(('user page'!$R$36=1),$N25^(K25^0.5),IF(('user page'!$R$36=2),$N25^(K25^0.375),IF(('user page'!$R$36=4),$N25^(K25),IF(('user page'!$R$36=3),$N25^(LN(1+K25)),"")))))</f>
        <v>0.98153956255603969</v>
      </c>
      <c r="R25" s="373">
        <f>IF(('user page'!$R$36=0),$N25^(L25^0.25),IF(('user page'!$R$36=1),$N25^(L25^0.5),IF(('user page'!$R$36=2),$N25^(L25^0.375),IF(('user page'!$R$36=4),$N25^(L25),IF(('user page'!$R$36=3),$N25^(LN(1+L25)),"")))))</f>
        <v>0.89763994054979646</v>
      </c>
      <c r="S25" s="373">
        <f>IF(('user page'!$R$36=0),$N25^(M25^0.25),IF(('user page'!$R$36=1),$N25^(M25^0.5),IF(('user page'!$R$36=2),$N25^(M25^0.375),IF(('user page'!$R$36=4),$N25^(M25),IF(('user page'!$R$36=3),$N25^(LN(1+M25)),"")))))</f>
        <v>0.84651296601173764</v>
      </c>
      <c r="T25" s="374">
        <f t="shared" si="21"/>
        <v>1</v>
      </c>
      <c r="U25" s="374">
        <f t="shared" si="21"/>
        <v>1</v>
      </c>
      <c r="V25" s="374">
        <f t="shared" si="21"/>
        <v>1</v>
      </c>
      <c r="W25" s="374">
        <f t="shared" si="21"/>
        <v>0.91452242455947552</v>
      </c>
      <c r="X25" s="374">
        <f t="shared" si="21"/>
        <v>0.86243387256579085</v>
      </c>
      <c r="Y25" s="374"/>
      <c r="Z25" s="376"/>
      <c r="AA25" s="372">
        <f>GBDNZ!E110/($T25+$W25+$X25+U25+V25)</f>
        <v>15.990881907161159</v>
      </c>
      <c r="AB25" s="376">
        <f t="shared" si="22"/>
        <v>15.990881907161159</v>
      </c>
      <c r="AC25" s="376">
        <f t="shared" si="22"/>
        <v>15.990881907161159</v>
      </c>
      <c r="AD25" s="376">
        <f t="shared" si="22"/>
        <v>14.624020092581272</v>
      </c>
      <c r="AE25" s="376">
        <f t="shared" si="22"/>
        <v>13.791078208935238</v>
      </c>
      <c r="AF25" s="372">
        <f>GBDNZ!F110/($T25+$W25+$X25+U25+V25)</f>
        <v>377.43576811138649</v>
      </c>
      <c r="AG25" s="376">
        <f t="shared" si="23"/>
        <v>377.43576811138649</v>
      </c>
      <c r="AH25" s="376">
        <f t="shared" si="23"/>
        <v>377.43576811138649</v>
      </c>
      <c r="AI25" s="376">
        <f t="shared" si="23"/>
        <v>345.17347376869316</v>
      </c>
      <c r="AJ25" s="376">
        <f t="shared" si="24"/>
        <v>325.51339113714687</v>
      </c>
      <c r="AK25" s="372">
        <f>GBDNZ!G110/($T25+$W25+$X25+U25+V25)</f>
        <v>536.93996154906404</v>
      </c>
      <c r="AL25" s="376">
        <f t="shared" si="25"/>
        <v>536.93996154906404</v>
      </c>
      <c r="AM25" s="376">
        <f t="shared" si="25"/>
        <v>536.93996154906404</v>
      </c>
      <c r="AN25" s="376">
        <f t="shared" si="25"/>
        <v>491.04363547872163</v>
      </c>
      <c r="AO25" s="376">
        <f t="shared" si="25"/>
        <v>463.07521037408611</v>
      </c>
      <c r="AP25" s="373"/>
      <c r="AQ25" s="373"/>
      <c r="AR25" s="373"/>
      <c r="AS25" s="373"/>
    </row>
    <row r="26" spans="1:45" ht="11.15" customHeight="1" x14ac:dyDescent="0.3">
      <c r="A26" s="364">
        <v>0</v>
      </c>
      <c r="B26" s="364">
        <v>1</v>
      </c>
      <c r="C26" s="364" t="s">
        <v>35</v>
      </c>
      <c r="D26" s="372">
        <f>Baseline!AN25</f>
        <v>0.51496682448345821</v>
      </c>
      <c r="E26" s="372">
        <f>Baseline!AO25</f>
        <v>1.2261609643914881</v>
      </c>
      <c r="F26" s="372">
        <f>Baseline!AP25</f>
        <v>2.2361246927243523</v>
      </c>
      <c r="G26" s="372">
        <f>Baseline!AQ25</f>
        <v>4.0779749042924998</v>
      </c>
      <c r="H26" s="372">
        <f>Baseline!AR25</f>
        <v>9.7098558658164578</v>
      </c>
      <c r="I26" s="373">
        <f t="shared" si="19"/>
        <v>0.1</v>
      </c>
      <c r="J26" s="373">
        <f t="shared" si="19"/>
        <v>0.1</v>
      </c>
      <c r="K26" s="373">
        <f t="shared" si="19"/>
        <v>0.1</v>
      </c>
      <c r="L26" s="373">
        <f t="shared" si="19"/>
        <v>4.0779749042924998</v>
      </c>
      <c r="M26" s="373">
        <f t="shared" si="19"/>
        <v>9.7098558658164578</v>
      </c>
      <c r="N26" s="380">
        <f t="shared" si="20"/>
        <v>0.94277975044398532</v>
      </c>
      <c r="O26" s="373">
        <f>IF(('user page'!$R$36=0),$N26^(I26^0.25),IF(('user page'!$R$36=1),$N26^(I26^0.5),IF(('user page'!$R$36=2),$N26^(I26^0.375),IF(('user page'!$R$36=4),$N26^(I26),IF(('user page'!$R$36=3),$N26^(LN(1+I26)),"")))))</f>
        <v>0.98153956255603969</v>
      </c>
      <c r="P26" s="373">
        <f>IF(('user page'!$R$36=0),$N26^(J26^0.25),IF(('user page'!$R$36=1),$N26^(J26^0.5),IF(('user page'!$R$36=2),$N26^(J26^0.375),IF(('user page'!$R$36=4),$N26^(J26),IF(('user page'!$R$36=3),$N26^(LN(1+J26)),"")))))</f>
        <v>0.98153956255603969</v>
      </c>
      <c r="Q26" s="373">
        <f>IF(('user page'!$R$36=0),$N26^(K26^0.25),IF(('user page'!$R$36=1),$N26^(K26^0.5),IF(('user page'!$R$36=2),$N26^(K26^0.375),IF(('user page'!$R$36=4),$N26^(K26),IF(('user page'!$R$36=3),$N26^(LN(1+K26)),"")))))</f>
        <v>0.98153956255603969</v>
      </c>
      <c r="R26" s="373">
        <f>IF(('user page'!$R$36=0),$N26^(L26^0.25),IF(('user page'!$R$36=1),$N26^(L26^0.5),IF(('user page'!$R$36=2),$N26^(L26^0.375),IF(('user page'!$R$36=4),$N26^(L26),IF(('user page'!$R$36=3),$N26^(LN(1+L26)),"")))))</f>
        <v>0.88781823305804741</v>
      </c>
      <c r="S26" s="373">
        <f>IF(('user page'!$R$36=0),$N26^(M26^0.25),IF(('user page'!$R$36=1),$N26^(M26^0.5),IF(('user page'!$R$36=2),$N26^(M26^0.375),IF(('user page'!$R$36=4),$N26^(M26),IF(('user page'!$R$36=3),$N26^(LN(1+M26)),"")))))</f>
        <v>0.83226318554817602</v>
      </c>
      <c r="T26" s="374">
        <f t="shared" si="21"/>
        <v>1</v>
      </c>
      <c r="U26" s="374">
        <f t="shared" si="21"/>
        <v>1</v>
      </c>
      <c r="V26" s="374">
        <f t="shared" si="21"/>
        <v>1</v>
      </c>
      <c r="W26" s="374">
        <f t="shared" si="21"/>
        <v>0.90451599398201399</v>
      </c>
      <c r="X26" s="374">
        <f t="shared" si="21"/>
        <v>0.8479160874380538</v>
      </c>
      <c r="Y26" s="374"/>
      <c r="Z26" s="376"/>
      <c r="AA26" s="372">
        <f>GBDNZ!E111/($T26+$W26+$X26+U26+V26)</f>
        <v>22.539397581036557</v>
      </c>
      <c r="AB26" s="376">
        <f t="shared" si="22"/>
        <v>22.539397581036557</v>
      </c>
      <c r="AC26" s="376">
        <f t="shared" si="22"/>
        <v>22.539397581036557</v>
      </c>
      <c r="AD26" s="376">
        <f t="shared" si="22"/>
        <v>20.387245606767081</v>
      </c>
      <c r="AE26" s="376">
        <f t="shared" si="22"/>
        <v>19.111517810123253</v>
      </c>
      <c r="AF26" s="372">
        <f>GBDNZ!F111/($T26+$W26+$X26+U26+V26)</f>
        <v>338.7929117145618</v>
      </c>
      <c r="AG26" s="376">
        <f t="shared" si="23"/>
        <v>338.7929117145618</v>
      </c>
      <c r="AH26" s="376">
        <f t="shared" si="23"/>
        <v>338.7929117145618</v>
      </c>
      <c r="AI26" s="376">
        <f t="shared" si="23"/>
        <v>306.44360729355759</v>
      </c>
      <c r="AJ26" s="376">
        <f t="shared" si="24"/>
        <v>287.26796015275721</v>
      </c>
      <c r="AK26" s="372">
        <f>GBDNZ!G111/($T26+$W26+$X26+U26+V26)</f>
        <v>322.54838156087004</v>
      </c>
      <c r="AL26" s="376">
        <f t="shared" si="25"/>
        <v>322.54838156087004</v>
      </c>
      <c r="AM26" s="376">
        <f t="shared" si="25"/>
        <v>322.54838156087004</v>
      </c>
      <c r="AN26" s="376">
        <f t="shared" si="25"/>
        <v>291.75016995482025</v>
      </c>
      <c r="AO26" s="376">
        <f t="shared" si="25"/>
        <v>273.49396170256944</v>
      </c>
      <c r="AP26" s="373"/>
      <c r="AQ26" s="373"/>
      <c r="AR26" s="373"/>
      <c r="AS26" s="373"/>
    </row>
    <row r="27" spans="1:45" ht="11.15" customHeight="1" x14ac:dyDescent="0.3">
      <c r="A27" s="364">
        <v>0</v>
      </c>
      <c r="B27" s="364">
        <v>1</v>
      </c>
      <c r="C27" s="364" t="s">
        <v>34</v>
      </c>
      <c r="D27" s="372">
        <f>Baseline!AN26</f>
        <v>0.25245260283815635</v>
      </c>
      <c r="E27" s="372">
        <f>Baseline!AO26</f>
        <v>0.60110188121277408</v>
      </c>
      <c r="F27" s="372">
        <f>Baseline!AP26</f>
        <v>1.096217216546284</v>
      </c>
      <c r="G27" s="372">
        <f>Baseline!AQ26</f>
        <v>1.9991489353318384</v>
      </c>
      <c r="H27" s="372">
        <f>Baseline!AR26</f>
        <v>4.7600704937982714</v>
      </c>
      <c r="I27" s="373">
        <f t="shared" si="19"/>
        <v>0.1</v>
      </c>
      <c r="J27" s="373">
        <f t="shared" si="19"/>
        <v>0.1</v>
      </c>
      <c r="K27" s="373">
        <f t="shared" si="19"/>
        <v>0.1</v>
      </c>
      <c r="L27" s="373">
        <f t="shared" si="19"/>
        <v>0.1</v>
      </c>
      <c r="M27" s="373">
        <f t="shared" si="19"/>
        <v>4.7600704937982714</v>
      </c>
      <c r="N27" s="380">
        <f t="shared" si="20"/>
        <v>0.94277975044398532</v>
      </c>
      <c r="O27" s="373">
        <f>IF(('user page'!$R$36=0),$N27^(I27^0.25),IF(('user page'!$R$36=1),$N27^(I27^0.5),IF(('user page'!$R$36=2),$N27^(I27^0.375),IF(('user page'!$R$36=4),$N27^(I27),IF(('user page'!$R$36=3),$N27^(LN(1+I27)),"")))))</f>
        <v>0.98153956255603969</v>
      </c>
      <c r="P27" s="373">
        <f>IF(('user page'!$R$36=0),$N27^(J27^0.25),IF(('user page'!$R$36=1),$N27^(J27^0.5),IF(('user page'!$R$36=2),$N27^(J27^0.375),IF(('user page'!$R$36=4),$N27^(J27),IF(('user page'!$R$36=3),$N27^(LN(1+J27)),"")))))</f>
        <v>0.98153956255603969</v>
      </c>
      <c r="Q27" s="373">
        <f>IF(('user page'!$R$36=0),$N27^(K27^0.25),IF(('user page'!$R$36=1),$N27^(K27^0.5),IF(('user page'!$R$36=2),$N27^(K27^0.375),IF(('user page'!$R$36=4),$N27^(K27),IF(('user page'!$R$36=3),$N27^(LN(1+K27)),"")))))</f>
        <v>0.98153956255603969</v>
      </c>
      <c r="R27" s="373">
        <f>IF(('user page'!$R$36=0),$N27^(L27^0.25),IF(('user page'!$R$36=1),$N27^(L27^0.5),IF(('user page'!$R$36=2),$N27^(L27^0.375),IF(('user page'!$R$36=4),$N27^(L27),IF(('user page'!$R$36=3),$N27^(LN(1+L27)),"")))))</f>
        <v>0.98153956255603969</v>
      </c>
      <c r="S27" s="373">
        <f>IF(('user page'!$R$36=0),$N27^(M27^0.25),IF(('user page'!$R$36=1),$N27^(M27^0.5),IF(('user page'!$R$36=2),$N27^(M27^0.375),IF(('user page'!$R$36=4),$N27^(M27),IF(('user page'!$R$36=3),$N27^(LN(1+M27)),"")))))</f>
        <v>0.87936532086053842</v>
      </c>
      <c r="T27" s="374">
        <f t="shared" si="21"/>
        <v>1</v>
      </c>
      <c r="U27" s="374">
        <f t="shared" si="21"/>
        <v>1</v>
      </c>
      <c r="V27" s="374">
        <f t="shared" si="21"/>
        <v>1</v>
      </c>
      <c r="W27" s="374">
        <f t="shared" si="21"/>
        <v>1</v>
      </c>
      <c r="X27" s="374">
        <f t="shared" si="21"/>
        <v>0.89590410250053698</v>
      </c>
      <c r="Y27" s="374"/>
      <c r="Z27" s="376"/>
      <c r="AA27" s="372">
        <f>GBDNZ!E112/($T27+$W27+$X27+U27+V27)</f>
        <v>33.031376241091778</v>
      </c>
      <c r="AB27" s="376">
        <f t="shared" si="22"/>
        <v>33.031376241091778</v>
      </c>
      <c r="AC27" s="376">
        <f t="shared" si="22"/>
        <v>33.031376241091778</v>
      </c>
      <c r="AD27" s="376">
        <f t="shared" si="22"/>
        <v>33.031376241091778</v>
      </c>
      <c r="AE27" s="376">
        <f t="shared" si="22"/>
        <v>29.592945485632889</v>
      </c>
      <c r="AF27" s="372">
        <f>GBDNZ!F112/($T27+$W27+$X27+U27+V27)</f>
        <v>215.6884045299546</v>
      </c>
      <c r="AG27" s="376">
        <f t="shared" si="23"/>
        <v>215.6884045299546</v>
      </c>
      <c r="AH27" s="376">
        <f t="shared" si="23"/>
        <v>215.6884045299546</v>
      </c>
      <c r="AI27" s="376">
        <f t="shared" si="23"/>
        <v>215.6884045299546</v>
      </c>
      <c r="AJ27" s="376">
        <f t="shared" si="24"/>
        <v>193.23612648018172</v>
      </c>
      <c r="AK27" s="372">
        <f>GBDNZ!G112/($T27+$W27+$X27+U27+V27)</f>
        <v>216.51425397785022</v>
      </c>
      <c r="AL27" s="376">
        <f t="shared" si="25"/>
        <v>216.51425397785022</v>
      </c>
      <c r="AM27" s="376">
        <f t="shared" si="25"/>
        <v>216.51425397785022</v>
      </c>
      <c r="AN27" s="376">
        <f t="shared" si="25"/>
        <v>216.51425397785022</v>
      </c>
      <c r="AO27" s="376">
        <f t="shared" si="25"/>
        <v>193.97600838859921</v>
      </c>
      <c r="AP27" s="373"/>
      <c r="AQ27" s="373"/>
      <c r="AR27" s="373"/>
      <c r="AS27" s="373"/>
    </row>
    <row r="28" spans="1:45" ht="11.15" customHeight="1" x14ac:dyDescent="0.3">
      <c r="A28" s="364">
        <v>0</v>
      </c>
      <c r="B28" s="364">
        <v>2</v>
      </c>
      <c r="C28" s="364" t="s">
        <v>2</v>
      </c>
      <c r="D28" s="372"/>
      <c r="E28" s="372"/>
      <c r="F28" s="372"/>
      <c r="G28" s="372"/>
      <c r="H28" s="372"/>
      <c r="I28" s="373"/>
      <c r="J28" s="373"/>
      <c r="K28" s="373"/>
      <c r="L28" s="373"/>
      <c r="M28" s="373"/>
      <c r="N28" s="380"/>
      <c r="O28" s="373"/>
      <c r="P28" s="373"/>
      <c r="Q28" s="373"/>
      <c r="R28" s="373"/>
      <c r="S28" s="373"/>
      <c r="T28" s="374"/>
      <c r="U28" s="374"/>
      <c r="V28" s="374"/>
      <c r="W28" s="374"/>
      <c r="X28" s="374"/>
      <c r="Y28" s="374"/>
      <c r="Z28" s="376"/>
      <c r="AA28" s="372"/>
      <c r="AB28" s="376"/>
      <c r="AC28" s="376"/>
      <c r="AD28" s="376"/>
      <c r="AE28" s="376"/>
      <c r="AF28" s="372"/>
      <c r="AG28" s="376"/>
      <c r="AH28" s="376"/>
      <c r="AI28" s="376"/>
      <c r="AJ28" s="376"/>
      <c r="AK28" s="372"/>
      <c r="AL28" s="376"/>
      <c r="AM28" s="376"/>
      <c r="AN28" s="376"/>
      <c r="AO28" s="376"/>
      <c r="AP28" s="373"/>
      <c r="AQ28" s="373"/>
      <c r="AR28" s="373"/>
      <c r="AS28" s="373"/>
    </row>
    <row r="29" spans="1:45" ht="11.15" customHeight="1" x14ac:dyDescent="0.3">
      <c r="A29" s="364">
        <v>0</v>
      </c>
      <c r="B29" s="364">
        <v>2</v>
      </c>
      <c r="C29" s="364" t="s">
        <v>40</v>
      </c>
      <c r="D29" s="372"/>
      <c r="E29" s="372"/>
      <c r="F29" s="372"/>
      <c r="G29" s="372"/>
      <c r="H29" s="372"/>
      <c r="I29" s="373"/>
      <c r="J29" s="373"/>
      <c r="K29" s="373"/>
      <c r="L29" s="373"/>
      <c r="M29" s="373"/>
      <c r="N29" s="380"/>
      <c r="O29" s="373"/>
      <c r="P29" s="373"/>
      <c r="Q29" s="373"/>
      <c r="R29" s="373"/>
      <c r="S29" s="373"/>
      <c r="T29" s="374"/>
      <c r="U29" s="374"/>
      <c r="V29" s="374"/>
      <c r="W29" s="374"/>
      <c r="X29" s="374"/>
      <c r="Y29" s="374"/>
      <c r="Z29" s="376"/>
      <c r="AA29" s="372"/>
      <c r="AB29" s="376"/>
      <c r="AC29" s="376"/>
      <c r="AD29" s="376"/>
      <c r="AE29" s="376"/>
      <c r="AF29" s="372"/>
      <c r="AG29" s="376"/>
      <c r="AH29" s="376"/>
      <c r="AI29" s="376"/>
      <c r="AJ29" s="376"/>
      <c r="AK29" s="372"/>
      <c r="AL29" s="376"/>
      <c r="AM29" s="376"/>
      <c r="AN29" s="376"/>
      <c r="AO29" s="376"/>
      <c r="AP29" s="373"/>
      <c r="AQ29" s="373"/>
      <c r="AR29" s="373"/>
      <c r="AS29" s="373"/>
    </row>
    <row r="30" spans="1:45" ht="11.15" customHeight="1" x14ac:dyDescent="0.3">
      <c r="A30" s="364">
        <v>0</v>
      </c>
      <c r="B30" s="364">
        <v>2</v>
      </c>
      <c r="C30" s="364" t="s">
        <v>39</v>
      </c>
      <c r="D30" s="372">
        <f>Baseline!AN29</f>
        <v>0.38786520725769708</v>
      </c>
      <c r="E30" s="372">
        <f>Baseline!AO29</f>
        <v>0.9235258544315782</v>
      </c>
      <c r="F30" s="372">
        <f>Baseline!AP29</f>
        <v>1.6842152273936337</v>
      </c>
      <c r="G30" s="372">
        <f>Baseline!AQ29</f>
        <v>3.0714688912856469</v>
      </c>
      <c r="H30" s="372">
        <f>Baseline!AR29</f>
        <v>7.3133162735578114</v>
      </c>
      <c r="I30" s="373">
        <f t="shared" ref="I30:M35" si="26">IF(D30&gt;2.5,D30,0.1)</f>
        <v>0.1</v>
      </c>
      <c r="J30" s="373">
        <f t="shared" si="26"/>
        <v>0.1</v>
      </c>
      <c r="K30" s="373">
        <f t="shared" si="26"/>
        <v>0.1</v>
      </c>
      <c r="L30" s="373">
        <f t="shared" si="26"/>
        <v>3.0714688912856469</v>
      </c>
      <c r="M30" s="373">
        <f t="shared" si="26"/>
        <v>7.3133162735578114</v>
      </c>
      <c r="N30" s="380">
        <f t="shared" ref="N30:N35" si="27">N13</f>
        <v>0.94277975044398532</v>
      </c>
      <c r="O30" s="373">
        <f>IF(('user page'!$R$36=0),$N30^(I30^0.25),IF(('user page'!$R$36=1),$N30^(I30^0.5),IF(('user page'!$R$36=2),$N30^(I30^0.375),IF(('user page'!$R$36=4),$N30^(I30),IF(('user page'!$R$36=3),$N30^(LN(1+I30)),"")))))</f>
        <v>0.98153956255603969</v>
      </c>
      <c r="P30" s="373">
        <f>IF(('user page'!$R$36=0),$N30^(J30^0.25),IF(('user page'!$R$36=1),$N30^(J30^0.5),IF(('user page'!$R$36=2),$N30^(J30^0.375),IF(('user page'!$R$36=4),$N30^(J30),IF(('user page'!$R$36=3),$N30^(LN(1+J30)),"")))))</f>
        <v>0.98153956255603969</v>
      </c>
      <c r="Q30" s="373">
        <f>IF(('user page'!$R$36=0),$N30^(K30^0.25),IF(('user page'!$R$36=1),$N30^(K30^0.5),IF(('user page'!$R$36=2),$N30^(K30^0.375),IF(('user page'!$R$36=4),$N30^(K30),IF(('user page'!$R$36=3),$N30^(LN(1+K30)),"")))))</f>
        <v>0.98153956255603969</v>
      </c>
      <c r="R30" s="373">
        <f>IF(('user page'!$R$36=0),$N30^(L30^0.25),IF(('user page'!$R$36=1),$N30^(L30^0.5),IF(('user page'!$R$36=2),$N30^(L30^0.375),IF(('user page'!$R$36=4),$N30^(L30),IF(('user page'!$R$36=3),$N30^(LN(1+L30)),"")))))</f>
        <v>0.90188757438115053</v>
      </c>
      <c r="S30" s="373">
        <f>IF(('user page'!$R$36=0),$N30^(M30^0.25),IF(('user page'!$R$36=1),$N30^(M30^0.5),IF(('user page'!$R$36=2),$N30^(M30^0.375),IF(('user page'!$R$36=4),$N30^(M30),IF(('user page'!$R$36=3),$N30^(LN(1+M30)),"")))))</f>
        <v>0.8527019576615944</v>
      </c>
      <c r="T30" s="374">
        <f t="shared" ref="T30:X35" si="28">O30/$O30</f>
        <v>1</v>
      </c>
      <c r="U30" s="374">
        <f t="shared" si="28"/>
        <v>1</v>
      </c>
      <c r="V30" s="374">
        <f t="shared" si="28"/>
        <v>1</v>
      </c>
      <c r="W30" s="374">
        <f t="shared" si="28"/>
        <v>0.91884994633587014</v>
      </c>
      <c r="X30" s="374">
        <f t="shared" si="28"/>
        <v>0.86873926450917816</v>
      </c>
      <c r="Y30" s="374"/>
      <c r="Z30" s="376"/>
      <c r="AA30" s="372">
        <f>GBDNZ!E115/($T30+$W30+$X30+U30+V30)</f>
        <v>0.16523656940073334</v>
      </c>
      <c r="AB30" s="376">
        <f t="shared" ref="AB30:AE35" si="29">$AA30*U30</f>
        <v>0.16523656940073334</v>
      </c>
      <c r="AC30" s="376">
        <f t="shared" si="29"/>
        <v>0.16523656940073334</v>
      </c>
      <c r="AD30" s="376">
        <f t="shared" si="29"/>
        <v>0.15182761292658711</v>
      </c>
      <c r="AE30" s="376">
        <f t="shared" si="29"/>
        <v>0.14354749577121284</v>
      </c>
      <c r="AF30" s="372">
        <f>GBDNZ!F115/($T30+$W30+$X30+U30+V30)</f>
        <v>10.596601374670854</v>
      </c>
      <c r="AG30" s="376">
        <f t="shared" ref="AG30:AI35" si="30">$AF30*U30</f>
        <v>10.596601374670854</v>
      </c>
      <c r="AH30" s="376">
        <f t="shared" si="30"/>
        <v>10.596601374670854</v>
      </c>
      <c r="AI30" s="376">
        <f t="shared" si="30"/>
        <v>9.7366866044589226</v>
      </c>
      <c r="AJ30" s="376">
        <f t="shared" ref="AJ30:AJ35" si="31">AF30*X30</f>
        <v>9.2056836845285037</v>
      </c>
      <c r="AK30" s="372">
        <f>GBDNZ!G115/($T30+$W30+$X30+U30+V30)</f>
        <v>69.137253130699506</v>
      </c>
      <c r="AL30" s="376">
        <f t="shared" ref="AL30:AO35" si="32">U30*$AK30</f>
        <v>69.137253130699506</v>
      </c>
      <c r="AM30" s="376">
        <f t="shared" si="32"/>
        <v>69.137253130699506</v>
      </c>
      <c r="AN30" s="376">
        <f t="shared" si="32"/>
        <v>63.526761328952709</v>
      </c>
      <c r="AO30" s="376">
        <f t="shared" si="32"/>
        <v>60.062246434948761</v>
      </c>
      <c r="AP30" s="373"/>
      <c r="AQ30" s="373"/>
      <c r="AR30" s="373"/>
      <c r="AS30" s="373"/>
    </row>
    <row r="31" spans="1:45" ht="11.15" customHeight="1" x14ac:dyDescent="0.3">
      <c r="A31" s="364">
        <v>0</v>
      </c>
      <c r="B31" s="364">
        <v>2</v>
      </c>
      <c r="C31" s="364" t="s">
        <v>38</v>
      </c>
      <c r="D31" s="372">
        <f>Baseline!AN30</f>
        <v>0.32214184162495779</v>
      </c>
      <c r="E31" s="372">
        <f>Baseline!AO30</f>
        <v>0.76703533590520923</v>
      </c>
      <c r="F31" s="372">
        <f>Baseline!AP30</f>
        <v>1.3988266668242526</v>
      </c>
      <c r="G31" s="373">
        <f>Baseline!AQ30</f>
        <v>2.5510116056249852</v>
      </c>
      <c r="H31" s="372">
        <f>Baseline!AR30</f>
        <v>6.0740822550356066</v>
      </c>
      <c r="I31" s="373">
        <f t="shared" si="26"/>
        <v>0.1</v>
      </c>
      <c r="J31" s="373">
        <f t="shared" si="26"/>
        <v>0.1</v>
      </c>
      <c r="K31" s="373">
        <f t="shared" si="26"/>
        <v>0.1</v>
      </c>
      <c r="L31" s="373">
        <f t="shared" si="26"/>
        <v>2.5510116056249852</v>
      </c>
      <c r="M31" s="373">
        <f t="shared" si="26"/>
        <v>6.0740822550356066</v>
      </c>
      <c r="N31" s="380">
        <f t="shared" si="27"/>
        <v>0.94277975044398532</v>
      </c>
      <c r="O31" s="373">
        <f>IF(('user page'!$R$36=0),$N31^(I31^0.25),IF(('user page'!$R$36=1),$N31^(I31^0.5),IF(('user page'!$R$36=2),$N31^(I31^0.375),IF(('user page'!$R$36=4),$N31^(I31),IF(('user page'!$R$36=3),$N31^(LN(1+I31)),"")))))</f>
        <v>0.98153956255603969</v>
      </c>
      <c r="P31" s="373">
        <f>IF(('user page'!$R$36=0),$N31^(J31^0.25),IF(('user page'!$R$36=1),$N31^(J31^0.5),IF(('user page'!$R$36=2),$N31^(J31^0.375),IF(('user page'!$R$36=4),$N31^(J31),IF(('user page'!$R$36=3),$N31^(LN(1+J31)),"")))))</f>
        <v>0.98153956255603969</v>
      </c>
      <c r="Q31" s="373">
        <f>IF(('user page'!$R$36=0),$N31^(K31^0.25),IF(('user page'!$R$36=1),$N31^(K31^0.5),IF(('user page'!$R$36=2),$N31^(K31^0.375),IF(('user page'!$R$36=4),$N31^(K31),IF(('user page'!$R$36=3),$N31^(LN(1+K31)),"")))))</f>
        <v>0.98153956255603969</v>
      </c>
      <c r="R31" s="373">
        <f>IF(('user page'!$R$36=0),$N31^(L31^0.25),IF(('user page'!$R$36=1),$N31^(L31^0.5),IF(('user page'!$R$36=2),$N31^(L31^0.375),IF(('user page'!$R$36=4),$N31^(L31),IF(('user page'!$R$36=3),$N31^(LN(1+L31)),"")))))</f>
        <v>0.91018219393235711</v>
      </c>
      <c r="S31" s="373">
        <f>IF(('user page'!$R$36=0),$N31^(M31^0.25),IF(('user page'!$R$36=1),$N31^(M31^0.5),IF(('user page'!$R$36=2),$N31^(M31^0.375),IF(('user page'!$R$36=4),$N31^(M31),IF(('user page'!$R$36=3),$N31^(LN(1+M31)),"")))))</f>
        <v>0.86483325180996484</v>
      </c>
      <c r="T31" s="374">
        <f t="shared" si="28"/>
        <v>1</v>
      </c>
      <c r="U31" s="374">
        <f t="shared" si="28"/>
        <v>1</v>
      </c>
      <c r="V31" s="374">
        <f t="shared" si="28"/>
        <v>1</v>
      </c>
      <c r="W31" s="374">
        <f t="shared" si="28"/>
        <v>0.9273005680607922</v>
      </c>
      <c r="X31" s="374">
        <f t="shared" si="28"/>
        <v>0.88109871960518993</v>
      </c>
      <c r="Y31" s="374"/>
      <c r="Z31" s="376"/>
      <c r="AA31" s="372">
        <f>GBDNZ!E116/($T31+$W31+$X31+U31+V31)</f>
        <v>0.8575429827712</v>
      </c>
      <c r="AB31" s="376">
        <f t="shared" si="29"/>
        <v>0.8575429827712</v>
      </c>
      <c r="AC31" s="376">
        <f t="shared" si="29"/>
        <v>0.8575429827712</v>
      </c>
      <c r="AD31" s="376">
        <f t="shared" si="29"/>
        <v>0.79520009506027989</v>
      </c>
      <c r="AE31" s="376">
        <f t="shared" si="29"/>
        <v>0.7555800241261198</v>
      </c>
      <c r="AF31" s="372">
        <f>GBDNZ!F116/($T31+$W31+$X31+U31+V31)</f>
        <v>41.147620144299466</v>
      </c>
      <c r="AG31" s="376">
        <f t="shared" si="30"/>
        <v>41.147620144299466</v>
      </c>
      <c r="AH31" s="376">
        <f t="shared" si="30"/>
        <v>41.147620144299466</v>
      </c>
      <c r="AI31" s="376">
        <f t="shared" si="30"/>
        <v>38.156211534158594</v>
      </c>
      <c r="AJ31" s="376">
        <f t="shared" si="31"/>
        <v>36.255115423942982</v>
      </c>
      <c r="AK31" s="372">
        <f>GBDNZ!G116/($T31+$W31+$X31+U31+V31)</f>
        <v>222.99160322238259</v>
      </c>
      <c r="AL31" s="376">
        <f t="shared" si="32"/>
        <v>222.99160322238259</v>
      </c>
      <c r="AM31" s="376">
        <f t="shared" si="32"/>
        <v>222.99160322238259</v>
      </c>
      <c r="AN31" s="376">
        <f t="shared" si="32"/>
        <v>206.78024034090217</v>
      </c>
      <c r="AO31" s="376">
        <f t="shared" si="32"/>
        <v>196.47761608194986</v>
      </c>
      <c r="AP31" s="373"/>
      <c r="AQ31" s="373"/>
      <c r="AR31" s="373"/>
      <c r="AS31" s="373"/>
    </row>
    <row r="32" spans="1:45" ht="11.15" customHeight="1" x14ac:dyDescent="0.3">
      <c r="A32" s="364">
        <v>0</v>
      </c>
      <c r="B32" s="364">
        <v>2</v>
      </c>
      <c r="C32" s="364" t="s">
        <v>37</v>
      </c>
      <c r="D32" s="372">
        <f>Baseline!AN31</f>
        <v>0.46307739299727485</v>
      </c>
      <c r="E32" s="372">
        <f>Baseline!AO31</f>
        <v>1.1026097134606268</v>
      </c>
      <c r="F32" s="372">
        <f>Baseline!AP31</f>
        <v>2.0108068013163582</v>
      </c>
      <c r="G32" s="372">
        <f>Baseline!AQ31</f>
        <v>3.6670672703669323</v>
      </c>
      <c r="H32" s="372">
        <f>Baseline!AR31</f>
        <v>8.7314648768524989</v>
      </c>
      <c r="I32" s="373">
        <f t="shared" si="26"/>
        <v>0.1</v>
      </c>
      <c r="J32" s="373">
        <f t="shared" si="26"/>
        <v>0.1</v>
      </c>
      <c r="K32" s="373">
        <f t="shared" si="26"/>
        <v>0.1</v>
      </c>
      <c r="L32" s="373">
        <f t="shared" si="26"/>
        <v>3.6670672703669323</v>
      </c>
      <c r="M32" s="373">
        <f t="shared" si="26"/>
        <v>8.7314648768524989</v>
      </c>
      <c r="N32" s="380">
        <f t="shared" si="27"/>
        <v>0.94277975044398532</v>
      </c>
      <c r="O32" s="373">
        <f>IF(('user page'!$R$36=0),$N32^(I32^0.25),IF(('user page'!$R$36=1),$N32^(I32^0.5),IF(('user page'!$R$36=2),$N32^(I32^0.375),IF(('user page'!$R$36=4),$N32^(I32),IF(('user page'!$R$36=3),$N32^(LN(1+I32)),"")))))</f>
        <v>0.98153956255603969</v>
      </c>
      <c r="P32" s="373">
        <f>IF(('user page'!$R$36=0),$N32^(J32^0.25),IF(('user page'!$R$36=1),$N32^(J32^0.5),IF(('user page'!$R$36=2),$N32^(J32^0.375),IF(('user page'!$R$36=4),$N32^(J32),IF(('user page'!$R$36=3),$N32^(LN(1+J32)),"")))))</f>
        <v>0.98153956255603969</v>
      </c>
      <c r="Q32" s="373">
        <f>IF(('user page'!$R$36=0),$N32^(K32^0.25),IF(('user page'!$R$36=1),$N32^(K32^0.5),IF(('user page'!$R$36=2),$N32^(K32^0.375),IF(('user page'!$R$36=4),$N32^(K32),IF(('user page'!$R$36=3),$N32^(LN(1+K32)),"")))))</f>
        <v>0.98153956255603969</v>
      </c>
      <c r="R32" s="373">
        <f>IF(('user page'!$R$36=0),$N32^(L32^0.25),IF(('user page'!$R$36=1),$N32^(L32^0.5),IF(('user page'!$R$36=2),$N32^(L32^0.375),IF(('user page'!$R$36=4),$N32^(L32),IF(('user page'!$R$36=3),$N32^(LN(1+L32)),"")))))</f>
        <v>0.8932986441617925</v>
      </c>
      <c r="S32" s="373">
        <f>IF(('user page'!$R$36=0),$N32^(M32^0.25),IF(('user page'!$R$36=1),$N32^(M32^0.5),IF(('user page'!$R$36=2),$N32^(M32^0.375),IF(('user page'!$R$36=4),$N32^(M32),IF(('user page'!$R$36=3),$N32^(LN(1+M32)),"")))))</f>
        <v>0.8402039173339112</v>
      </c>
      <c r="T32" s="374">
        <f t="shared" si="28"/>
        <v>1</v>
      </c>
      <c r="U32" s="374">
        <f t="shared" si="28"/>
        <v>1</v>
      </c>
      <c r="V32" s="374">
        <f t="shared" si="28"/>
        <v>1</v>
      </c>
      <c r="W32" s="374">
        <f t="shared" si="28"/>
        <v>0.9100994786552894</v>
      </c>
      <c r="X32" s="374">
        <f t="shared" si="28"/>
        <v>0.85600616560571996</v>
      </c>
      <c r="Y32" s="374"/>
      <c r="Z32" s="376"/>
      <c r="AA32" s="372">
        <f>GBDNZ!E117/($T32+$W32+$X32+U32+V32)</f>
        <v>4.8998589408147604</v>
      </c>
      <c r="AB32" s="376">
        <f t="shared" si="29"/>
        <v>4.8998589408147604</v>
      </c>
      <c r="AC32" s="376">
        <f t="shared" si="29"/>
        <v>4.8998589408147604</v>
      </c>
      <c r="AD32" s="376">
        <f t="shared" si="29"/>
        <v>4.4593590675199719</v>
      </c>
      <c r="AE32" s="376">
        <f t="shared" si="29"/>
        <v>4.1943094639357472</v>
      </c>
      <c r="AF32" s="372">
        <f>GBDNZ!F117/($T32+$W32+$X32+U32+V32)</f>
        <v>165.57553431075041</v>
      </c>
      <c r="AG32" s="376">
        <f t="shared" si="30"/>
        <v>165.57553431075041</v>
      </c>
      <c r="AH32" s="376">
        <f t="shared" si="30"/>
        <v>165.57553431075041</v>
      </c>
      <c r="AI32" s="376">
        <f t="shared" si="30"/>
        <v>150.69020745428494</v>
      </c>
      <c r="AJ32" s="376">
        <f t="shared" si="31"/>
        <v>141.7336782434638</v>
      </c>
      <c r="AK32" s="372">
        <f>GBDNZ!G117/($T32+$W32+$X32+U32+V32)</f>
        <v>576.65107156812508</v>
      </c>
      <c r="AL32" s="376">
        <f t="shared" si="32"/>
        <v>576.65107156812508</v>
      </c>
      <c r="AM32" s="376">
        <f t="shared" si="32"/>
        <v>576.65107156812508</v>
      </c>
      <c r="AN32" s="376">
        <f t="shared" si="32"/>
        <v>524.80983960016465</v>
      </c>
      <c r="AO32" s="376">
        <f t="shared" si="32"/>
        <v>493.61687266546033</v>
      </c>
      <c r="AP32" s="373"/>
      <c r="AQ32" s="373"/>
      <c r="AR32" s="373"/>
      <c r="AS32" s="373"/>
    </row>
    <row r="33" spans="1:45" ht="11.15" customHeight="1" x14ac:dyDescent="0.3">
      <c r="A33" s="364">
        <v>0</v>
      </c>
      <c r="B33" s="364">
        <v>2</v>
      </c>
      <c r="C33" s="364" t="s">
        <v>36</v>
      </c>
      <c r="D33" s="372">
        <f>Baseline!AN32</f>
        <v>0.35634958562049185</v>
      </c>
      <c r="E33" s="372">
        <f>Baseline!AO32</f>
        <v>0.8484856320661196</v>
      </c>
      <c r="F33" s="372">
        <f>Baseline!AP32</f>
        <v>1.5473659074006401</v>
      </c>
      <c r="G33" s="372">
        <f>Baseline!AQ32</f>
        <v>2.8218995830906697</v>
      </c>
      <c r="H33" s="372">
        <f>Baseline!AR32</f>
        <v>6.7190796566149293</v>
      </c>
      <c r="I33" s="373">
        <f t="shared" si="26"/>
        <v>0.1</v>
      </c>
      <c r="J33" s="373">
        <f t="shared" si="26"/>
        <v>0.1</v>
      </c>
      <c r="K33" s="373">
        <f t="shared" si="26"/>
        <v>0.1</v>
      </c>
      <c r="L33" s="373">
        <f t="shared" si="26"/>
        <v>2.8218995830906697</v>
      </c>
      <c r="M33" s="373">
        <f t="shared" si="26"/>
        <v>6.7190796566149293</v>
      </c>
      <c r="N33" s="380">
        <f t="shared" si="27"/>
        <v>0.94277975044398532</v>
      </c>
      <c r="O33" s="373">
        <f>IF(('user page'!$R$36=0),$N33^(I33^0.25),IF(('user page'!$R$36=1),$N33^(I33^0.5),IF(('user page'!$R$36=2),$N33^(I33^0.375),IF(('user page'!$R$36=4),$N33^(I33),IF(('user page'!$R$36=3),$N33^(LN(1+I33)),"")))))</f>
        <v>0.98153956255603969</v>
      </c>
      <c r="P33" s="373">
        <f>IF(('user page'!$R$36=0),$N33^(J33^0.25),IF(('user page'!$R$36=1),$N33^(J33^0.5),IF(('user page'!$R$36=2),$N33^(J33^0.375),IF(('user page'!$R$36=4),$N33^(J33),IF(('user page'!$R$36=3),$N33^(LN(1+J33)),"")))))</f>
        <v>0.98153956255603969</v>
      </c>
      <c r="Q33" s="373">
        <f>IF(('user page'!$R$36=0),$N33^(K33^0.25),IF(('user page'!$R$36=1),$N33^(K33^0.5),IF(('user page'!$R$36=2),$N33^(K33^0.375),IF(('user page'!$R$36=4),$N33^(K33),IF(('user page'!$R$36=3),$N33^(LN(1+K33)),"")))))</f>
        <v>0.98153956255603969</v>
      </c>
      <c r="R33" s="373">
        <f>IF(('user page'!$R$36=0),$N33^(L33^0.25),IF(('user page'!$R$36=1),$N33^(L33^0.5),IF(('user page'!$R$36=2),$N33^(L33^0.375),IF(('user page'!$R$36=4),$N33^(L33),IF(('user page'!$R$36=3),$N33^(LN(1+L33)),"")))))</f>
        <v>0.90575976425661697</v>
      </c>
      <c r="S33" s="373">
        <f>IF(('user page'!$R$36=0),$N33^(M33^0.25),IF(('user page'!$R$36=1),$N33^(M33^0.5),IF(('user page'!$R$36=2),$N33^(M33^0.375),IF(('user page'!$R$36=4),$N33^(M33),IF(('user page'!$R$36=3),$N33^(LN(1+M33)),"")))))</f>
        <v>0.85835772188317272</v>
      </c>
      <c r="T33" s="374">
        <f t="shared" si="28"/>
        <v>1</v>
      </c>
      <c r="U33" s="374">
        <f t="shared" si="28"/>
        <v>1</v>
      </c>
      <c r="V33" s="374">
        <f t="shared" si="28"/>
        <v>1</v>
      </c>
      <c r="W33" s="374">
        <f t="shared" si="28"/>
        <v>0.92279496294363972</v>
      </c>
      <c r="X33" s="374">
        <f t="shared" si="28"/>
        <v>0.874501400277654</v>
      </c>
      <c r="Y33" s="374"/>
      <c r="Z33" s="376"/>
      <c r="AA33" s="372">
        <f>GBDNZ!E118/($T33+$W33+$X33+U33+V33)</f>
        <v>9.7826096773573816</v>
      </c>
      <c r="AB33" s="376">
        <f t="shared" si="29"/>
        <v>9.7826096773573816</v>
      </c>
      <c r="AC33" s="376">
        <f t="shared" si="29"/>
        <v>9.7826096773573816</v>
      </c>
      <c r="AD33" s="376">
        <f t="shared" si="29"/>
        <v>9.0273429347090968</v>
      </c>
      <c r="AE33" s="376">
        <f t="shared" si="29"/>
        <v>8.5549058612187601</v>
      </c>
      <c r="AF33" s="372">
        <f>GBDNZ!F118/($T33+$W33+$X33+U33+V33)</f>
        <v>229.37875301727314</v>
      </c>
      <c r="AG33" s="376">
        <f t="shared" si="30"/>
        <v>229.37875301727314</v>
      </c>
      <c r="AH33" s="376">
        <f t="shared" si="30"/>
        <v>229.37875301727314</v>
      </c>
      <c r="AI33" s="376">
        <f t="shared" si="30"/>
        <v>211.66955789063286</v>
      </c>
      <c r="AJ33" s="376">
        <f t="shared" si="31"/>
        <v>200.59204070754751</v>
      </c>
      <c r="AK33" s="372">
        <f>GBDNZ!G118/($T33+$W33+$X33+U33+V33)</f>
        <v>459.03875105629311</v>
      </c>
      <c r="AL33" s="376">
        <f t="shared" si="32"/>
        <v>459.03875105629311</v>
      </c>
      <c r="AM33" s="376">
        <f t="shared" si="32"/>
        <v>459.03875105629311</v>
      </c>
      <c r="AN33" s="376">
        <f t="shared" si="32"/>
        <v>423.59864727068668</v>
      </c>
      <c r="AO33" s="376">
        <f t="shared" si="32"/>
        <v>401.43003058043377</v>
      </c>
      <c r="AP33" s="373"/>
      <c r="AQ33" s="373"/>
      <c r="AR33" s="373"/>
      <c r="AS33" s="373"/>
    </row>
    <row r="34" spans="1:45" ht="11.15" customHeight="1" x14ac:dyDescent="0.3">
      <c r="A34" s="364">
        <v>0</v>
      </c>
      <c r="B34" s="364">
        <v>2</v>
      </c>
      <c r="C34" s="364" t="s">
        <v>35</v>
      </c>
      <c r="D34" s="372">
        <f>Baseline!AN33</f>
        <v>0.30903559868571595</v>
      </c>
      <c r="E34" s="372">
        <f>Baseline!AO33</f>
        <v>0.73582873633823809</v>
      </c>
      <c r="F34" s="372">
        <f>Baseline!AP33</f>
        <v>1.3419158289374042</v>
      </c>
      <c r="G34" s="372">
        <f>Baseline!AQ33</f>
        <v>2.4472244736104138</v>
      </c>
      <c r="H34" s="372">
        <f>Baseline!AR33</f>
        <v>5.8269600641836821</v>
      </c>
      <c r="I34" s="373">
        <f t="shared" si="26"/>
        <v>0.1</v>
      </c>
      <c r="J34" s="373">
        <f t="shared" si="26"/>
        <v>0.1</v>
      </c>
      <c r="K34" s="373">
        <f t="shared" si="26"/>
        <v>0.1</v>
      </c>
      <c r="L34" s="373">
        <f t="shared" si="26"/>
        <v>0.1</v>
      </c>
      <c r="M34" s="373">
        <f t="shared" si="26"/>
        <v>5.8269600641836821</v>
      </c>
      <c r="N34" s="380">
        <f t="shared" si="27"/>
        <v>0.94277975044398532</v>
      </c>
      <c r="O34" s="373">
        <f>IF(('user page'!$R$36=0),$N34^(I34^0.25),IF(('user page'!$R$36=1),$N34^(I34^0.5),IF(('user page'!$R$36=2),$N34^(I34^0.375),IF(('user page'!$R$36=4),$N34^(I34),IF(('user page'!$R$36=3),$N34^(LN(1+I34)),"")))))</f>
        <v>0.98153956255603969</v>
      </c>
      <c r="P34" s="373">
        <f>IF(('user page'!$R$36=0),$N34^(J34^0.25),IF(('user page'!$R$36=1),$N34^(J34^0.5),IF(('user page'!$R$36=2),$N34^(J34^0.375),IF(('user page'!$R$36=4),$N34^(J34),IF(('user page'!$R$36=3),$N34^(LN(1+J34)),"")))))</f>
        <v>0.98153956255603969</v>
      </c>
      <c r="Q34" s="373">
        <f>IF(('user page'!$R$36=0),$N34^(K34^0.25),IF(('user page'!$R$36=1),$N34^(K34^0.5),IF(('user page'!$R$36=2),$N34^(K34^0.375),IF(('user page'!$R$36=4),$N34^(K34),IF(('user page'!$R$36=3),$N34^(LN(1+K34)),"")))))</f>
        <v>0.98153956255603969</v>
      </c>
      <c r="R34" s="373">
        <f>IF(('user page'!$R$36=0),$N34^(L34^0.25),IF(('user page'!$R$36=1),$N34^(L34^0.5),IF(('user page'!$R$36=2),$N34^(L34^0.375),IF(('user page'!$R$36=4),$N34^(L34),IF(('user page'!$R$36=3),$N34^(LN(1+L34)),"")))))</f>
        <v>0.98153956255603969</v>
      </c>
      <c r="S34" s="373">
        <f>IF(('user page'!$R$36=0),$N34^(M34^0.25),IF(('user page'!$R$36=1),$N34^(M34^0.5),IF(('user page'!$R$36=2),$N34^(M34^0.375),IF(('user page'!$R$36=4),$N34^(M34),IF(('user page'!$R$36=3),$N34^(LN(1+M34)),"")))))</f>
        <v>0.86741842791292068</v>
      </c>
      <c r="T34" s="374">
        <f t="shared" si="28"/>
        <v>1</v>
      </c>
      <c r="U34" s="374">
        <f t="shared" si="28"/>
        <v>1</v>
      </c>
      <c r="V34" s="374">
        <f t="shared" si="28"/>
        <v>1</v>
      </c>
      <c r="W34" s="374">
        <f t="shared" si="28"/>
        <v>1</v>
      </c>
      <c r="X34" s="374">
        <f t="shared" si="28"/>
        <v>0.88373251675568254</v>
      </c>
      <c r="Y34" s="374"/>
      <c r="Z34" s="376"/>
      <c r="AA34" s="372">
        <f>GBDNZ!E119/($T34+$W34+$X34+U34+V34)</f>
        <v>14.490351943355677</v>
      </c>
      <c r="AB34" s="376">
        <f t="shared" si="29"/>
        <v>14.490351943355677</v>
      </c>
      <c r="AC34" s="376">
        <f t="shared" si="29"/>
        <v>14.490351943355677</v>
      </c>
      <c r="AD34" s="376">
        <f t="shared" si="29"/>
        <v>14.490351943355677</v>
      </c>
      <c r="AE34" s="376">
        <f t="shared" si="29"/>
        <v>12.805595191577307</v>
      </c>
      <c r="AF34" s="372">
        <f>GBDNZ!F119/($T34+$W34+$X34+U34+V34)</f>
        <v>218.88114790122043</v>
      </c>
      <c r="AG34" s="376">
        <f t="shared" si="30"/>
        <v>218.88114790122043</v>
      </c>
      <c r="AH34" s="376">
        <f t="shared" si="30"/>
        <v>218.88114790122043</v>
      </c>
      <c r="AI34" s="376">
        <f t="shared" si="30"/>
        <v>218.88114790122043</v>
      </c>
      <c r="AJ34" s="376">
        <f t="shared" si="31"/>
        <v>193.43238770511832</v>
      </c>
      <c r="AK34" s="372">
        <f>GBDNZ!G119/($T34+$W34+$X34+U34+V34)</f>
        <v>346.32503190072094</v>
      </c>
      <c r="AL34" s="376">
        <f t="shared" si="32"/>
        <v>346.32503190072094</v>
      </c>
      <c r="AM34" s="376">
        <f t="shared" si="32"/>
        <v>346.32503190072094</v>
      </c>
      <c r="AN34" s="376">
        <f t="shared" si="32"/>
        <v>346.32503190072094</v>
      </c>
      <c r="AO34" s="376">
        <f t="shared" si="32"/>
        <v>306.05869205711616</v>
      </c>
      <c r="AP34" s="373"/>
      <c r="AQ34" s="373"/>
      <c r="AR34" s="373"/>
      <c r="AS34" s="373"/>
    </row>
    <row r="35" spans="1:45" ht="11.15" customHeight="1" x14ac:dyDescent="0.3">
      <c r="A35" s="364">
        <v>0</v>
      </c>
      <c r="B35" s="364">
        <v>2</v>
      </c>
      <c r="C35" s="364" t="s">
        <v>34</v>
      </c>
      <c r="D35" s="372">
        <f>Baseline!AN34</f>
        <v>0.18233554535978089</v>
      </c>
      <c r="E35" s="372">
        <f>Baseline!AO34</f>
        <v>0.43414976948360384</v>
      </c>
      <c r="F35" s="372">
        <f>Baseline!AP34</f>
        <v>0.79175006224787237</v>
      </c>
      <c r="G35" s="372">
        <f>Baseline!AQ34</f>
        <v>1.4438984081809676</v>
      </c>
      <c r="H35" s="372">
        <f>Baseline!AR34</f>
        <v>3.4379920812071276</v>
      </c>
      <c r="I35" s="373">
        <f t="shared" si="26"/>
        <v>0.1</v>
      </c>
      <c r="J35" s="373">
        <f t="shared" si="26"/>
        <v>0.1</v>
      </c>
      <c r="K35" s="373">
        <f t="shared" si="26"/>
        <v>0.1</v>
      </c>
      <c r="L35" s="373">
        <f t="shared" si="26"/>
        <v>0.1</v>
      </c>
      <c r="M35" s="373">
        <f t="shared" si="26"/>
        <v>3.4379920812071276</v>
      </c>
      <c r="N35" s="380">
        <f t="shared" si="27"/>
        <v>0.94277975044398532</v>
      </c>
      <c r="O35" s="373">
        <f>IF(('user page'!$R$36=0),$N35^(I35^0.25),IF(('user page'!$R$36=1),$N35^(I35^0.5),IF(('user page'!$R$36=2),$N35^(I35^0.375),IF(('user page'!$R$36=4),$N35^(I35),IF(('user page'!$R$36=3),$N35^(LN(1+I35)),"")))))</f>
        <v>0.98153956255603969</v>
      </c>
      <c r="P35" s="373">
        <f>IF(('user page'!$R$36=0),$N35^(J35^0.25),IF(('user page'!$R$36=1),$N35^(J35^0.5),IF(('user page'!$R$36=2),$N35^(J35^0.375),IF(('user page'!$R$36=4),$N35^(J35),IF(('user page'!$R$36=3),$N35^(LN(1+J35)),"")))))</f>
        <v>0.98153956255603969</v>
      </c>
      <c r="Q35" s="373">
        <f>IF(('user page'!$R$36=0),$N35^(K35^0.25),IF(('user page'!$R$36=1),$N35^(K35^0.5),IF(('user page'!$R$36=2),$N35^(K35^0.375),IF(('user page'!$R$36=4),$N35^(K35),IF(('user page'!$R$36=3),$N35^(LN(1+K35)),"")))))</f>
        <v>0.98153956255603969</v>
      </c>
      <c r="R35" s="373">
        <f>IF(('user page'!$R$36=0),$N35^(L35^0.25),IF(('user page'!$R$36=1),$N35^(L35^0.5),IF(('user page'!$R$36=2),$N35^(L35^0.375),IF(('user page'!$R$36=4),$N35^(L35),IF(('user page'!$R$36=3),$N35^(LN(1+L35)),"")))))</f>
        <v>0.98153956255603969</v>
      </c>
      <c r="S35" s="373">
        <f>IF(('user page'!$R$36=0),$N35^(M35^0.25),IF(('user page'!$R$36=1),$N35^(M35^0.5),IF(('user page'!$R$36=2),$N35^(M35^0.375),IF(('user page'!$R$36=4),$N35^(M35),IF(('user page'!$R$36=3),$N35^(LN(1+M35)),"")))))</f>
        <v>0.89650337817035997</v>
      </c>
      <c r="T35" s="374">
        <f t="shared" si="28"/>
        <v>1</v>
      </c>
      <c r="U35" s="374">
        <f t="shared" si="28"/>
        <v>1</v>
      </c>
      <c r="V35" s="374">
        <f t="shared" si="28"/>
        <v>1</v>
      </c>
      <c r="W35" s="374">
        <f t="shared" si="28"/>
        <v>1</v>
      </c>
      <c r="X35" s="374">
        <f t="shared" si="28"/>
        <v>0.91336448613009957</v>
      </c>
      <c r="Y35" s="374"/>
      <c r="Z35" s="376"/>
      <c r="AA35" s="372">
        <f>GBDNZ!E120/($T35+$W35+$X35+U35+V35)</f>
        <v>38.140054726043381</v>
      </c>
      <c r="AB35" s="376">
        <f t="shared" si="29"/>
        <v>38.140054726043381</v>
      </c>
      <c r="AC35" s="376">
        <f t="shared" si="29"/>
        <v>38.140054726043381</v>
      </c>
      <c r="AD35" s="376">
        <f t="shared" si="29"/>
        <v>38.140054726043381</v>
      </c>
      <c r="AE35" s="376">
        <f t="shared" si="29"/>
        <v>34.835771485826491</v>
      </c>
      <c r="AF35" s="372">
        <f>GBDNZ!F120/($T35+$W35+$X35+U35+V35)</f>
        <v>217.797282192442</v>
      </c>
      <c r="AG35" s="376">
        <f t="shared" si="30"/>
        <v>217.797282192442</v>
      </c>
      <c r="AH35" s="376">
        <f t="shared" si="30"/>
        <v>217.797282192442</v>
      </c>
      <c r="AI35" s="376">
        <f t="shared" si="30"/>
        <v>217.797282192442</v>
      </c>
      <c r="AJ35" s="376">
        <f t="shared" si="31"/>
        <v>198.92830273023208</v>
      </c>
      <c r="AK35" s="372">
        <f>GBDNZ!G120/($T35+$W35+$X35+U35+V35)</f>
        <v>245.9225593808319</v>
      </c>
      <c r="AL35" s="376">
        <f t="shared" si="32"/>
        <v>245.9225593808319</v>
      </c>
      <c r="AM35" s="376">
        <f t="shared" si="32"/>
        <v>245.9225593808319</v>
      </c>
      <c r="AN35" s="376">
        <f t="shared" si="32"/>
        <v>245.9225593808319</v>
      </c>
      <c r="AO35" s="376">
        <f t="shared" si="32"/>
        <v>224.61693207667241</v>
      </c>
      <c r="AP35" s="373"/>
      <c r="AQ35" s="373"/>
      <c r="AR35" s="373"/>
      <c r="AS35" s="373"/>
    </row>
  </sheetData>
  <mergeCells count="8">
    <mergeCell ref="AF1:AJ1"/>
    <mergeCell ref="AK1:AO1"/>
    <mergeCell ref="AP1:AS1"/>
    <mergeCell ref="D1:H1"/>
    <mergeCell ref="I1:M1"/>
    <mergeCell ref="O1:S1"/>
    <mergeCell ref="T1:X1"/>
    <mergeCell ref="AA1:AE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workbookViewId="0">
      <selection activeCell="AA6" sqref="AA6"/>
    </sheetView>
  </sheetViews>
  <sheetFormatPr defaultColWidth="9.1796875" defaultRowHeight="14.5" x14ac:dyDescent="0.35"/>
  <cols>
    <col min="1" max="1" width="6.453125" style="289" customWidth="1"/>
    <col min="2" max="2" width="4" style="289" customWidth="1"/>
    <col min="3" max="3" width="6" style="289" customWidth="1"/>
    <col min="4" max="7" width="3.7265625" style="289" customWidth="1"/>
    <col min="8" max="8" width="3.453125" style="289" customWidth="1"/>
    <col min="9" max="9" width="3.81640625" style="289" customWidth="1"/>
    <col min="10" max="12" width="4" style="289" customWidth="1"/>
    <col min="13" max="13" width="3.81640625" style="289" customWidth="1"/>
    <col min="14" max="14" width="6.453125" style="289" customWidth="1"/>
    <col min="15" max="15" width="4.7265625" style="289" customWidth="1"/>
    <col min="16" max="18" width="4" style="289" customWidth="1"/>
    <col min="19" max="19" width="4.1796875" style="289" customWidth="1"/>
    <col min="20" max="20" width="4.453125" style="289" customWidth="1"/>
    <col min="21" max="22" width="3.7265625" style="289" customWidth="1"/>
    <col min="23" max="23" width="3.7265625" style="290" customWidth="1"/>
    <col min="24" max="24" width="4" style="290" customWidth="1"/>
    <col min="25" max="25" width="6.453125" style="289" customWidth="1"/>
    <col min="26" max="27" width="7.7265625" style="291" customWidth="1"/>
    <col min="28" max="28" width="4.81640625" style="289" customWidth="1"/>
    <col min="29" max="31" width="5.453125" style="289" customWidth="1"/>
    <col min="32" max="32" width="4.453125" style="289" customWidth="1"/>
    <col min="33" max="33" width="5.1796875" style="289" customWidth="1"/>
    <col min="34" max="36" width="6.453125" style="289" customWidth="1"/>
    <col min="37" max="37" width="5.26953125" style="289" customWidth="1"/>
    <col min="38" max="42" width="5.1796875" style="291" customWidth="1"/>
    <col min="43" max="43" width="7.7265625" style="290" customWidth="1"/>
    <col min="44" max="44" width="8.453125" style="289" customWidth="1"/>
    <col min="45" max="45" width="6.7265625" style="289" customWidth="1"/>
    <col min="46" max="46" width="7.7265625" style="289" customWidth="1"/>
    <col min="47" max="47" width="5.1796875" style="289" customWidth="1"/>
    <col min="48" max="48" width="5.453125" style="289" customWidth="1"/>
    <col min="49" max="49" width="4.453125" style="289" customWidth="1"/>
    <col min="50" max="50" width="6" style="289" customWidth="1"/>
    <col min="51" max="16384" width="9.1796875" style="289"/>
  </cols>
  <sheetData>
    <row r="1" spans="1:50" s="275" customFormat="1" ht="46.5" customHeight="1" x14ac:dyDescent="0.3">
      <c r="A1" s="271"/>
      <c r="B1" s="271"/>
      <c r="C1" s="271"/>
      <c r="D1" s="1076" t="s">
        <v>56</v>
      </c>
      <c r="E1" s="1076"/>
      <c r="F1" s="1076"/>
      <c r="G1" s="1076"/>
      <c r="H1" s="1076"/>
      <c r="I1" s="1076" t="s">
        <v>55</v>
      </c>
      <c r="J1" s="1076"/>
      <c r="K1" s="1076"/>
      <c r="L1" s="1076"/>
      <c r="M1" s="1076"/>
      <c r="N1" s="272"/>
      <c r="O1" s="1076" t="s">
        <v>54</v>
      </c>
      <c r="P1" s="1076"/>
      <c r="Q1" s="1076"/>
      <c r="R1" s="1076"/>
      <c r="S1" s="1076"/>
      <c r="T1" s="1076" t="s">
        <v>52</v>
      </c>
      <c r="U1" s="1076"/>
      <c r="V1" s="1076"/>
      <c r="W1" s="1076"/>
      <c r="X1" s="1076"/>
      <c r="Y1" s="273" t="s">
        <v>74</v>
      </c>
      <c r="Z1" s="274" t="s">
        <v>73</v>
      </c>
      <c r="AA1" s="274" t="s">
        <v>132</v>
      </c>
      <c r="AB1" s="1076" t="s">
        <v>51</v>
      </c>
      <c r="AC1" s="1076"/>
      <c r="AD1" s="1076"/>
      <c r="AE1" s="1076"/>
      <c r="AF1" s="1076"/>
      <c r="AG1" s="1076" t="s">
        <v>50</v>
      </c>
      <c r="AH1" s="1076"/>
      <c r="AI1" s="1076"/>
      <c r="AJ1" s="1076"/>
      <c r="AK1" s="1076"/>
      <c r="AL1" s="1077" t="s">
        <v>49</v>
      </c>
      <c r="AM1" s="1077"/>
      <c r="AN1" s="1077"/>
      <c r="AO1" s="1077"/>
      <c r="AP1" s="1077"/>
      <c r="AQ1" s="1078" t="s">
        <v>48</v>
      </c>
      <c r="AR1" s="1078"/>
      <c r="AS1" s="1078"/>
      <c r="AT1" s="1078"/>
      <c r="AU1" s="1079"/>
      <c r="AV1" s="1079"/>
      <c r="AW1" s="1079"/>
      <c r="AX1" s="1079"/>
    </row>
    <row r="2" spans="1:50" s="279" customFormat="1" ht="37.5" customHeight="1" x14ac:dyDescent="0.3">
      <c r="A2" s="272" t="s">
        <v>47</v>
      </c>
      <c r="B2" s="272" t="s">
        <v>46</v>
      </c>
      <c r="C2" s="272" t="s">
        <v>45</v>
      </c>
      <c r="D2" s="272">
        <v>1</v>
      </c>
      <c r="E2" s="272">
        <v>2</v>
      </c>
      <c r="F2" s="272">
        <v>3</v>
      </c>
      <c r="G2" s="272">
        <v>4</v>
      </c>
      <c r="H2" s="272">
        <v>5</v>
      </c>
      <c r="I2" s="272">
        <v>1</v>
      </c>
      <c r="J2" s="272">
        <v>2</v>
      </c>
      <c r="K2" s="272">
        <v>3</v>
      </c>
      <c r="L2" s="272">
        <v>4</v>
      </c>
      <c r="M2" s="272">
        <v>5</v>
      </c>
      <c r="N2" s="273" t="s">
        <v>44</v>
      </c>
      <c r="O2" s="272">
        <v>1</v>
      </c>
      <c r="P2" s="272">
        <v>2</v>
      </c>
      <c r="Q2" s="272">
        <v>3</v>
      </c>
      <c r="R2" s="272">
        <v>4</v>
      </c>
      <c r="S2" s="272">
        <v>5</v>
      </c>
      <c r="T2" s="272">
        <v>1</v>
      </c>
      <c r="U2" s="272">
        <v>2</v>
      </c>
      <c r="V2" s="272">
        <v>3</v>
      </c>
      <c r="W2" s="272">
        <v>4</v>
      </c>
      <c r="X2" s="272">
        <v>5</v>
      </c>
      <c r="Y2" s="272"/>
      <c r="Z2" s="274"/>
      <c r="AA2" s="274"/>
      <c r="AB2" s="272">
        <v>1</v>
      </c>
      <c r="AC2" s="272">
        <v>2</v>
      </c>
      <c r="AD2" s="272">
        <v>3</v>
      </c>
      <c r="AE2" s="272">
        <v>4</v>
      </c>
      <c r="AF2" s="272">
        <v>5</v>
      </c>
      <c r="AG2" s="272">
        <v>1</v>
      </c>
      <c r="AH2" s="272">
        <v>2</v>
      </c>
      <c r="AI2" s="272">
        <v>3</v>
      </c>
      <c r="AJ2" s="272">
        <v>4</v>
      </c>
      <c r="AK2" s="272">
        <v>5</v>
      </c>
      <c r="AL2" s="276">
        <v>1</v>
      </c>
      <c r="AM2" s="276">
        <v>2</v>
      </c>
      <c r="AN2" s="276">
        <v>3</v>
      </c>
      <c r="AO2" s="276">
        <v>4</v>
      </c>
      <c r="AP2" s="276">
        <v>5</v>
      </c>
      <c r="AQ2" s="277" t="s">
        <v>43</v>
      </c>
      <c r="AR2" s="273" t="s">
        <v>42</v>
      </c>
      <c r="AS2" s="273" t="s">
        <v>41</v>
      </c>
      <c r="AT2" s="273" t="s">
        <v>28</v>
      </c>
      <c r="AU2" s="278"/>
      <c r="AV2" s="278"/>
      <c r="AW2" s="278"/>
      <c r="AX2" s="278"/>
    </row>
    <row r="3" spans="1:50" s="275" customFormat="1" ht="13" x14ac:dyDescent="0.3">
      <c r="A3" s="271">
        <v>1</v>
      </c>
      <c r="B3" s="271">
        <v>1</v>
      </c>
      <c r="C3" s="271" t="s">
        <v>2</v>
      </c>
      <c r="D3" s="280"/>
      <c r="E3" s="280"/>
      <c r="F3" s="280"/>
      <c r="G3" s="280"/>
      <c r="H3" s="280"/>
      <c r="I3" s="280"/>
      <c r="J3" s="280"/>
      <c r="K3" s="280"/>
      <c r="L3" s="280"/>
      <c r="M3" s="280"/>
      <c r="N3" s="281"/>
      <c r="O3" s="281"/>
      <c r="P3" s="281"/>
      <c r="Q3" s="281"/>
      <c r="R3" s="281"/>
      <c r="S3" s="281"/>
      <c r="T3" s="282"/>
      <c r="U3" s="282"/>
      <c r="V3" s="282"/>
      <c r="W3" s="283"/>
      <c r="X3" s="283"/>
      <c r="Y3" s="282"/>
      <c r="Z3" s="284"/>
      <c r="AA3" s="269">
        <f>'Inflammatory HD'!F3</f>
        <v>1</v>
      </c>
      <c r="AB3" s="281"/>
      <c r="AC3" s="282"/>
      <c r="AD3" s="282"/>
      <c r="AE3" s="282"/>
      <c r="AF3" s="282"/>
      <c r="AG3" s="281"/>
      <c r="AH3" s="282"/>
      <c r="AI3" s="282"/>
      <c r="AJ3" s="282"/>
      <c r="AK3" s="282"/>
      <c r="AL3" s="280"/>
      <c r="AM3" s="284"/>
      <c r="AN3" s="284"/>
      <c r="AO3" s="284"/>
      <c r="AP3" s="284"/>
      <c r="AQ3" s="280"/>
      <c r="AR3" s="280"/>
      <c r="AS3" s="280"/>
      <c r="AT3" s="280"/>
      <c r="AU3" s="285"/>
      <c r="AV3" s="285"/>
      <c r="AW3" s="285"/>
      <c r="AX3" s="285"/>
    </row>
    <row r="4" spans="1:50" s="275" customFormat="1" ht="13" x14ac:dyDescent="0.3">
      <c r="A4" s="271">
        <v>1</v>
      </c>
      <c r="B4" s="271">
        <v>1</v>
      </c>
      <c r="C4" s="271" t="s">
        <v>40</v>
      </c>
      <c r="D4" s="280"/>
      <c r="E4" s="280"/>
      <c r="F4" s="280"/>
      <c r="G4" s="280"/>
      <c r="H4" s="280"/>
      <c r="I4" s="280"/>
      <c r="J4" s="280"/>
      <c r="K4" s="280"/>
      <c r="L4" s="280"/>
      <c r="M4" s="280"/>
      <c r="N4" s="281"/>
      <c r="O4" s="281"/>
      <c r="P4" s="281"/>
      <c r="Q4" s="281"/>
      <c r="R4" s="281"/>
      <c r="S4" s="281"/>
      <c r="T4" s="282"/>
      <c r="U4" s="282"/>
      <c r="V4" s="282"/>
      <c r="W4" s="283"/>
      <c r="X4" s="283"/>
      <c r="Y4" s="282"/>
      <c r="Z4" s="284"/>
      <c r="AA4" s="269">
        <f>'Inflammatory HD'!F4</f>
        <v>1</v>
      </c>
      <c r="AB4" s="281"/>
      <c r="AC4" s="282"/>
      <c r="AD4" s="282"/>
      <c r="AE4" s="282"/>
      <c r="AF4" s="282"/>
      <c r="AG4" s="281"/>
      <c r="AH4" s="282"/>
      <c r="AI4" s="282"/>
      <c r="AJ4" s="282"/>
      <c r="AK4" s="282"/>
      <c r="AL4" s="280"/>
      <c r="AM4" s="284"/>
      <c r="AN4" s="284"/>
      <c r="AO4" s="284"/>
      <c r="AP4" s="284"/>
      <c r="AQ4" s="280"/>
      <c r="AR4" s="280"/>
      <c r="AS4" s="280"/>
      <c r="AT4" s="280"/>
      <c r="AU4" s="285"/>
      <c r="AV4" s="285"/>
      <c r="AW4" s="285"/>
      <c r="AX4" s="285"/>
    </row>
    <row r="5" spans="1:50" s="275" customFormat="1" ht="13" x14ac:dyDescent="0.3">
      <c r="A5" s="271">
        <v>1</v>
      </c>
      <c r="B5" s="271">
        <v>1</v>
      </c>
      <c r="C5" s="271" t="s">
        <v>39</v>
      </c>
      <c r="D5" s="17">
        <f>Scenario!AN21</f>
        <v>0.37339203160199785</v>
      </c>
      <c r="E5" s="17">
        <f>Scenario!AO21</f>
        <v>0.89041070258950428</v>
      </c>
      <c r="F5" s="17">
        <f>Scenario!AP21</f>
        <v>1.6255263073807924</v>
      </c>
      <c r="G5" s="17">
        <f>Scenario!AQ21</f>
        <v>2.9675471872727468</v>
      </c>
      <c r="H5" s="17">
        <f>Scenario!AR21</f>
        <v>7.0765724824131357</v>
      </c>
      <c r="I5" s="17">
        <f t="shared" ref="I5:I10" si="0">IF(D5&gt;2.5,D5,0.1)</f>
        <v>0.1</v>
      </c>
      <c r="J5" s="17">
        <f t="shared" ref="J5:M18" si="1">IF(E5&gt;2.5,E5,0.1)</f>
        <v>0.1</v>
      </c>
      <c r="K5" s="17">
        <f t="shared" si="1"/>
        <v>0.1</v>
      </c>
      <c r="L5" s="17">
        <f t="shared" si="1"/>
        <v>2.9675471872727468</v>
      </c>
      <c r="M5" s="17">
        <f t="shared" si="1"/>
        <v>7.0765724824131357</v>
      </c>
      <c r="N5" s="19">
        <f>'Phy activity RRs'!$G$4</f>
        <v>0.93831941951583364</v>
      </c>
      <c r="O5" s="15">
        <f>IF(('user page'!$R$36=0),$N5^(I5^0.25),IF(('user page'!$R$36=1),$N5^(I5^0.5),IF(('user page'!$R$36=2),$N5^(I5^0.375),IF(('user page'!$R$36=4),$N5^(I5),IF(('user page'!$R$36=3),$N5^(LN(1+I5)),"")))))</f>
        <v>0.98006871247951299</v>
      </c>
      <c r="P5" s="15">
        <f>IF(('user page'!$R$36=0),$N5^(J5^0.25),IF(('user page'!$R$36=1),$N5^(J5^0.5),IF(('user page'!$R$36=2),$N5^(J5^0.375),IF(('user page'!$R$36=4),$N5^(J5),IF(('user page'!$R$36=3),$N5^(LN(1+J5)),"")))))</f>
        <v>0.98006871247951299</v>
      </c>
      <c r="Q5" s="15">
        <f>IF(('user page'!$R$36=0),$N5^(K5^0.25),IF(('user page'!$R$36=1),$N5^(K5^0.5),IF(('user page'!$R$36=2),$N5^(K5^0.375),IF(('user page'!$R$36=4),$N5^(K5),IF(('user page'!$R$36=3),$N5^(LN(1+K5)),"")))))</f>
        <v>0.98006871247951299</v>
      </c>
      <c r="R5" s="15">
        <f>IF(('user page'!$R$36=0),$N5^(L5^0.25),IF(('user page'!$R$36=1),$N5^(L5^0.5),IF(('user page'!$R$36=2),$N5^(L5^0.375),IF(('user page'!$R$36=4),$N5^(L5),IF(('user page'!$R$36=3),$N5^(LN(1+L5)),"")))))</f>
        <v>0.89612738109796275</v>
      </c>
      <c r="S5" s="15">
        <f>IF(('user page'!$R$36=0),$N5^(M5^0.25),IF(('user page'!$R$36=1),$N5^(M5^0.5),IF(('user page'!$R$36=2),$N5^(M5^0.375),IF(('user page'!$R$36=4),$N5^(M5),IF(('user page'!$R$36=3),$N5^(LN(1+M5)),"")))))</f>
        <v>0.84420480593211289</v>
      </c>
      <c r="T5" s="18">
        <f t="shared" ref="T5:X10" si="2">O5/$O5</f>
        <v>1</v>
      </c>
      <c r="U5" s="18">
        <f t="shared" si="2"/>
        <v>1</v>
      </c>
      <c r="V5" s="18">
        <f t="shared" si="2"/>
        <v>1</v>
      </c>
      <c r="W5" s="183">
        <f t="shared" si="2"/>
        <v>0.91435158544222483</v>
      </c>
      <c r="X5" s="183">
        <f t="shared" si="2"/>
        <v>0.86137308046119254</v>
      </c>
      <c r="Y5" s="30">
        <f>1-Z5</f>
        <v>-1.2624560306744304E-3</v>
      </c>
      <c r="Z5" s="269">
        <f t="shared" ref="Z5:Z10" si="3">SUM(O5:S5)/SUM(O22:S22)</f>
        <v>1.0012624560306744</v>
      </c>
      <c r="AA5" s="269">
        <v>1</v>
      </c>
      <c r="AB5" s="280">
        <f>Z5*AA5*GBDNZ!E39/($T5+$U5+$X5+V5+W5)</f>
        <v>1.4979512963626186E-2</v>
      </c>
      <c r="AC5" s="284">
        <f t="shared" ref="AC5:AF10" si="4">$AB5*U5</f>
        <v>1.4979512963626186E-2</v>
      </c>
      <c r="AD5" s="284">
        <f t="shared" si="4"/>
        <v>1.4979512963626186E-2</v>
      </c>
      <c r="AE5" s="284">
        <f t="shared" si="4"/>
        <v>1.3696541427443963E-2</v>
      </c>
      <c r="AF5" s="284">
        <f t="shared" si="4"/>
        <v>1.2902949225287055E-2</v>
      </c>
      <c r="AG5" s="280">
        <f>Z5*AA5*GBDNZ!$F39/($T5+$U5+$X5+V5+W5)</f>
        <v>0.97065926688767845</v>
      </c>
      <c r="AH5" s="284">
        <f t="shared" ref="AH5:AK10" si="5">$AG5*U5</f>
        <v>0.97065926688767845</v>
      </c>
      <c r="AI5" s="284">
        <f t="shared" si="5"/>
        <v>0.97065926688767845</v>
      </c>
      <c r="AJ5" s="284">
        <f t="shared" si="5"/>
        <v>0.88752383960293646</v>
      </c>
      <c r="AK5" s="284">
        <f t="shared" si="5"/>
        <v>0.83609976279724241</v>
      </c>
      <c r="AL5" s="280">
        <f>Z5*GBDNZ!$G39/($T5+$U5+$X5+V5+W5)</f>
        <v>0.14205532488757835</v>
      </c>
      <c r="AM5" s="284">
        <f t="shared" ref="AM5:AP10" si="6">$AL5*U5</f>
        <v>0.14205532488757835</v>
      </c>
      <c r="AN5" s="284">
        <f t="shared" si="6"/>
        <v>0.14205532488757835</v>
      </c>
      <c r="AO5" s="284">
        <f t="shared" si="6"/>
        <v>0.1298885115314676</v>
      </c>
      <c r="AP5" s="284">
        <f t="shared" si="6"/>
        <v>0.12236263279432888</v>
      </c>
      <c r="AQ5" s="280">
        <f>AB5+AC5+AF5+AD5+AE5-AD22-AE22-AB22-AC22-AF22</f>
        <v>9.0199743609584507E-5</v>
      </c>
      <c r="AR5" s="280">
        <f>AG5+AH5+AK5+AI5+AJ5-AI22-AJ22-AH22-AK22-AG22</f>
        <v>5.8448640632134952E-3</v>
      </c>
      <c r="AS5" s="280">
        <f>AL5+AM5+AP5-AL22+AN5+AO5-AN22-AO22-AM22-AP22</f>
        <v>8.5539188853145376E-4</v>
      </c>
      <c r="AT5" s="280">
        <f t="shared" ref="AT5:AT10" si="7">AR5+AS5</f>
        <v>6.7002559517449489E-3</v>
      </c>
      <c r="AU5" s="285"/>
      <c r="AV5" s="285"/>
      <c r="AW5" s="285"/>
      <c r="AX5" s="285"/>
    </row>
    <row r="6" spans="1:50" s="275" customFormat="1" ht="13" x14ac:dyDescent="0.3">
      <c r="A6" s="271">
        <v>1</v>
      </c>
      <c r="B6" s="271">
        <v>1</v>
      </c>
      <c r="C6" s="271" t="s">
        <v>38</v>
      </c>
      <c r="D6" s="17">
        <f>Scenario!AN22</f>
        <v>0.24273184972454737</v>
      </c>
      <c r="E6" s="17">
        <f>Scenario!AO22</f>
        <v>0.57883141192595211</v>
      </c>
      <c r="F6" s="17">
        <f>Scenario!AP22</f>
        <v>1.0567097687478921</v>
      </c>
      <c r="G6" s="17">
        <f>Scenario!AQ22</f>
        <v>1.9291204871757561</v>
      </c>
      <c r="H6" s="17">
        <f>Scenario!AR22</f>
        <v>4.600284374029961</v>
      </c>
      <c r="I6" s="17">
        <f t="shared" si="0"/>
        <v>0.1</v>
      </c>
      <c r="J6" s="17">
        <f t="shared" si="1"/>
        <v>0.1</v>
      </c>
      <c r="K6" s="17">
        <f t="shared" si="1"/>
        <v>0.1</v>
      </c>
      <c r="L6" s="17">
        <f t="shared" si="1"/>
        <v>0.1</v>
      </c>
      <c r="M6" s="17">
        <f t="shared" si="1"/>
        <v>4.600284374029961</v>
      </c>
      <c r="N6" s="19">
        <f>'Phy activity RRs'!$G$4</f>
        <v>0.93831941951583364</v>
      </c>
      <c r="O6" s="15">
        <f>IF(('user page'!$R$36=0),$N6^(I6^0.25),IF(('user page'!$R$36=1),$N6^(I6^0.5),IF(('user page'!$R$36=2),$N6^(I6^0.375),IF(('user page'!$R$36=4),$N6^(I6),IF(('user page'!$R$36=3),$N6^(LN(1+I6)),"")))))</f>
        <v>0.98006871247951299</v>
      </c>
      <c r="P6" s="15">
        <f>IF(('user page'!$R$36=0),$N6^(J6^0.25),IF(('user page'!$R$36=1),$N6^(J6^0.5),IF(('user page'!$R$36=2),$N6^(J6^0.375),IF(('user page'!$R$36=4),$N6^(J6),IF(('user page'!$R$36=3),$N6^(LN(1+J6)),"")))))</f>
        <v>0.98006871247951299</v>
      </c>
      <c r="Q6" s="15">
        <f>IF(('user page'!$R$36=0),$N6^(K6^0.25),IF(('user page'!$R$36=1),$N6^(K6^0.5),IF(('user page'!$R$36=2),$N6^(K6^0.375),IF(('user page'!$R$36=4),$N6^(K6),IF(('user page'!$R$36=3),$N6^(LN(1+K6)),"")))))</f>
        <v>0.98006871247951299</v>
      </c>
      <c r="R6" s="15">
        <f>IF(('user page'!$R$36=0),$N6^(L6^0.25),IF(('user page'!$R$36=1),$N6^(L6^0.5),IF(('user page'!$R$36=2),$N6^(L6^0.375),IF(('user page'!$R$36=4),$N6^(L6),IF(('user page'!$R$36=3),$N6^(LN(1+L6)),"")))))</f>
        <v>0.98006871247951299</v>
      </c>
      <c r="S6" s="15">
        <f>IF(('user page'!$R$36=0),$N6^(M6^0.25),IF(('user page'!$R$36=1),$N6^(M6^0.5),IF(('user page'!$R$36=2),$N6^(M6^0.375),IF(('user page'!$R$36=4),$N6^(M6),IF(('user page'!$R$36=3),$N6^(LN(1+M6)),"")))))</f>
        <v>0.87236259346454292</v>
      </c>
      <c r="T6" s="18">
        <f t="shared" si="2"/>
        <v>1</v>
      </c>
      <c r="U6" s="18">
        <f t="shared" si="2"/>
        <v>1</v>
      </c>
      <c r="V6" s="18">
        <f t="shared" si="2"/>
        <v>1</v>
      </c>
      <c r="W6" s="183">
        <f t="shared" si="2"/>
        <v>1</v>
      </c>
      <c r="X6" s="183">
        <f t="shared" si="2"/>
        <v>0.89010350229171153</v>
      </c>
      <c r="Y6" s="30">
        <f t="shared" ref="Y6:Y18" si="8">1-Z6</f>
        <v>-3.860908991619727E-4</v>
      </c>
      <c r="Z6" s="269">
        <f t="shared" si="3"/>
        <v>1.000386090899162</v>
      </c>
      <c r="AA6" s="269">
        <f>'Inflammatory HD'!F6</f>
        <v>1</v>
      </c>
      <c r="AB6" s="280">
        <f>Z6*AA6*GBDNZ!E40/($T6+$U6+$X6+V6+W6)</f>
        <v>0.23828719837531659</v>
      </c>
      <c r="AC6" s="284">
        <f t="shared" si="4"/>
        <v>0.23828719837531659</v>
      </c>
      <c r="AD6" s="284">
        <f t="shared" si="4"/>
        <v>0.23828719837531659</v>
      </c>
      <c r="AE6" s="284">
        <f t="shared" si="4"/>
        <v>0.23828719837531659</v>
      </c>
      <c r="AF6" s="284">
        <f t="shared" si="4"/>
        <v>0.21210026982514912</v>
      </c>
      <c r="AG6" s="280">
        <f>Z6*AA6*GBDNZ!$F40/($T6+$U6+$X6+V6+W6)</f>
        <v>11.106792257427569</v>
      </c>
      <c r="AH6" s="284">
        <f t="shared" si="5"/>
        <v>11.106792257427569</v>
      </c>
      <c r="AI6" s="284">
        <f t="shared" si="5"/>
        <v>11.106792257427569</v>
      </c>
      <c r="AJ6" s="284">
        <f t="shared" si="5"/>
        <v>11.106792257427569</v>
      </c>
      <c r="AK6" s="284">
        <f t="shared" si="5"/>
        <v>9.8861946875627442</v>
      </c>
      <c r="AL6" s="280">
        <f>Z6*GBDNZ!$G40/($T6+$U6+$X6+V6+W6)</f>
        <v>0.52218704406018979</v>
      </c>
      <c r="AM6" s="284">
        <f t="shared" si="6"/>
        <v>0.52218704406018979</v>
      </c>
      <c r="AN6" s="284">
        <f t="shared" si="6"/>
        <v>0.52218704406018979</v>
      </c>
      <c r="AO6" s="284">
        <f t="shared" si="6"/>
        <v>0.52218704406018979</v>
      </c>
      <c r="AP6" s="284">
        <f t="shared" si="6"/>
        <v>0.46480051676933121</v>
      </c>
      <c r="AQ6" s="280">
        <f t="shared" ref="AQ6:AQ18" si="9">AB6+AC6+AF6+AD6+AE6-AD23-AE23-AB23-AC23-AF23</f>
        <v>4.4971842641561288E-4</v>
      </c>
      <c r="AR6" s="280">
        <f t="shared" ref="AR6:AR18" si="10">AG6+AH6+AK6+AI6+AJ6-AI23-AJ23-AH23-AK23-AG23</f>
        <v>2.0961802273031793E-2</v>
      </c>
      <c r="AS6" s="280">
        <f t="shared" ref="AS6:AS18" si="11">AL6+AM6+AP6-AL23+AN6+AO6-AN23-AO23-AM23-AP23</f>
        <v>9.8552141009022876E-4</v>
      </c>
      <c r="AT6" s="280">
        <f t="shared" si="7"/>
        <v>2.1947323683122022E-2</v>
      </c>
      <c r="AU6" s="285"/>
      <c r="AV6" s="285"/>
      <c r="AW6" s="285"/>
      <c r="AX6" s="285"/>
    </row>
    <row r="7" spans="1:50" s="275" customFormat="1" ht="13" x14ac:dyDescent="0.3">
      <c r="A7" s="271">
        <v>1</v>
      </c>
      <c r="B7" s="271">
        <v>1</v>
      </c>
      <c r="C7" s="271" t="s">
        <v>37</v>
      </c>
      <c r="D7" s="17">
        <f>Scenario!AN23</f>
        <v>0.44101223863405448</v>
      </c>
      <c r="E7" s="17">
        <f>Scenario!AO23</f>
        <v>1.0516614818156649</v>
      </c>
      <c r="F7" s="17">
        <f>Scenario!AP23</f>
        <v>1.9199043769114967</v>
      </c>
      <c r="G7" s="17">
        <f>Scenario!AQ23</f>
        <v>3.5049613209376891</v>
      </c>
      <c r="H7" s="17">
        <f>Scenario!AR23</f>
        <v>8.3581191032263789</v>
      </c>
      <c r="I7" s="17">
        <f t="shared" si="0"/>
        <v>0.1</v>
      </c>
      <c r="J7" s="17">
        <f t="shared" si="1"/>
        <v>0.1</v>
      </c>
      <c r="K7" s="17">
        <f t="shared" si="1"/>
        <v>0.1</v>
      </c>
      <c r="L7" s="17">
        <f t="shared" si="1"/>
        <v>3.5049613209376891</v>
      </c>
      <c r="M7" s="17">
        <f t="shared" si="1"/>
        <v>8.3581191032263789</v>
      </c>
      <c r="N7" s="19">
        <f>'Phy activity RRs'!$G$4</f>
        <v>0.93831941951583364</v>
      </c>
      <c r="O7" s="15">
        <f>IF(('user page'!$R$36=0),$N7^(I7^0.25),IF(('user page'!$R$36=1),$N7^(I7^0.5),IF(('user page'!$R$36=2),$N7^(I7^0.375),IF(('user page'!$R$36=4),$N7^(I7),IF(('user page'!$R$36=3),$N7^(LN(1+I7)),"")))))</f>
        <v>0.98006871247951299</v>
      </c>
      <c r="P7" s="15">
        <f>IF(('user page'!$R$36=0),$N7^(J7^0.25),IF(('user page'!$R$36=1),$N7^(J7^0.5),IF(('user page'!$R$36=2),$N7^(J7^0.375),IF(('user page'!$R$36=4),$N7^(J7),IF(('user page'!$R$36=3),$N7^(LN(1+J7)),"")))))</f>
        <v>0.98006871247951299</v>
      </c>
      <c r="Q7" s="15">
        <f>IF(('user page'!$R$36=0),$N7^(K7^0.25),IF(('user page'!$R$36=1),$N7^(K7^0.5),IF(('user page'!$R$36=2),$N7^(K7^0.375),IF(('user page'!$R$36=4),$N7^(K7),IF(('user page'!$R$36=3),$N7^(LN(1+K7)),"")))))</f>
        <v>0.98006871247951299</v>
      </c>
      <c r="R7" s="15">
        <f>IF(('user page'!$R$36=0),$N7^(L7^0.25),IF(('user page'!$R$36=1),$N7^(L7^0.5),IF(('user page'!$R$36=2),$N7^(L7^0.375),IF(('user page'!$R$36=4),$N7^(L7),IF(('user page'!$R$36=3),$N7^(LN(1+L7)),"")))))</f>
        <v>0.8876387551870274</v>
      </c>
      <c r="S7" s="15">
        <f>IF(('user page'!$R$36=0),$N7^(M7^0.25),IF(('user page'!$R$36=1),$N7^(M7^0.5),IF(('user page'!$R$36=2),$N7^(M7^0.375),IF(('user page'!$R$36=4),$N7^(M7),IF(('user page'!$R$36=3),$N7^(LN(1+M7)),"")))))</f>
        <v>0.83188778696046084</v>
      </c>
      <c r="T7" s="18">
        <f t="shared" si="2"/>
        <v>1</v>
      </c>
      <c r="U7" s="18">
        <f t="shared" si="2"/>
        <v>1</v>
      </c>
      <c r="V7" s="18">
        <f t="shared" si="2"/>
        <v>1</v>
      </c>
      <c r="W7" s="183">
        <f t="shared" si="2"/>
        <v>0.90569032954980933</v>
      </c>
      <c r="X7" s="183">
        <f t="shared" si="2"/>
        <v>0.84880557492324837</v>
      </c>
      <c r="Y7" s="30">
        <f t="shared" si="8"/>
        <v>-2.2313846765209533E-4</v>
      </c>
      <c r="Z7" s="269">
        <f t="shared" si="3"/>
        <v>1.0002231384676521</v>
      </c>
      <c r="AA7" s="269">
        <f>'Inflammatory HD'!F7</f>
        <v>1</v>
      </c>
      <c r="AB7" s="280">
        <f>Z7*AA7*GBDNZ!E41/($T7+$U7+$X7+V7+W7)</f>
        <v>1.4500622274980313</v>
      </c>
      <c r="AC7" s="284">
        <f t="shared" si="4"/>
        <v>1.4500622274980313</v>
      </c>
      <c r="AD7" s="284">
        <f t="shared" si="4"/>
        <v>1.4500622274980313</v>
      </c>
      <c r="AE7" s="284">
        <f t="shared" si="4"/>
        <v>1.3133073366904224</v>
      </c>
      <c r="AF7" s="284">
        <f t="shared" si="4"/>
        <v>1.2308209026859527</v>
      </c>
      <c r="AG7" s="280">
        <f>Z7*AA7*GBDNZ!$F41/($T7+$U7+$X7+V7+W7)</f>
        <v>49.111622963506754</v>
      </c>
      <c r="AH7" s="284">
        <f t="shared" si="5"/>
        <v>49.111622963506754</v>
      </c>
      <c r="AI7" s="284">
        <f t="shared" si="5"/>
        <v>49.111622963506754</v>
      </c>
      <c r="AJ7" s="284">
        <f t="shared" si="5"/>
        <v>44.479921986544419</v>
      </c>
      <c r="AK7" s="284">
        <f t="shared" si="5"/>
        <v>41.68621936495316</v>
      </c>
      <c r="AL7" s="280">
        <f>Z7*GBDNZ!$G41/($T7+$U7+$X7+V7+W7)</f>
        <v>4.997191203171627</v>
      </c>
      <c r="AM7" s="284">
        <f t="shared" si="6"/>
        <v>4.997191203171627</v>
      </c>
      <c r="AN7" s="284">
        <f t="shared" si="6"/>
        <v>4.997191203171627</v>
      </c>
      <c r="AO7" s="284">
        <f t="shared" si="6"/>
        <v>4.5259077476239193</v>
      </c>
      <c r="AP7" s="284">
        <f t="shared" si="6"/>
        <v>4.2416437522094919</v>
      </c>
      <c r="AQ7" s="280">
        <f t="shared" si="9"/>
        <v>1.538043670468614E-3</v>
      </c>
      <c r="AR7" s="280">
        <f t="shared" si="10"/>
        <v>5.2091434017846439E-2</v>
      </c>
      <c r="AS7" s="280">
        <f t="shared" si="11"/>
        <v>5.3003920482925793E-3</v>
      </c>
      <c r="AT7" s="280">
        <f t="shared" si="7"/>
        <v>5.7391826066139018E-2</v>
      </c>
      <c r="AU7" s="285"/>
      <c r="AV7" s="285"/>
      <c r="AW7" s="285"/>
      <c r="AX7" s="285"/>
    </row>
    <row r="8" spans="1:50" s="275" customFormat="1" ht="13" x14ac:dyDescent="0.3">
      <c r="A8" s="271">
        <v>1</v>
      </c>
      <c r="B8" s="271">
        <v>1</v>
      </c>
      <c r="C8" s="271" t="s">
        <v>36</v>
      </c>
      <c r="D8" s="17">
        <f>Scenario!AN24</f>
        <v>0.39571511265083242</v>
      </c>
      <c r="E8" s="17">
        <f>Scenario!AO24</f>
        <v>0.94364352117798989</v>
      </c>
      <c r="F8" s="17">
        <f>Scenario!AP24</f>
        <v>1.7227076943294906</v>
      </c>
      <c r="G8" s="17">
        <f>Scenario!AQ24</f>
        <v>3.1449607118557816</v>
      </c>
      <c r="H8" s="17">
        <f>Scenario!AR24</f>
        <v>7.4996423063595765</v>
      </c>
      <c r="I8" s="17">
        <f t="shared" si="0"/>
        <v>0.1</v>
      </c>
      <c r="J8" s="17">
        <f t="shared" si="1"/>
        <v>0.1</v>
      </c>
      <c r="K8" s="17">
        <f t="shared" si="1"/>
        <v>0.1</v>
      </c>
      <c r="L8" s="17">
        <f t="shared" si="1"/>
        <v>3.1449607118557816</v>
      </c>
      <c r="M8" s="17">
        <f t="shared" si="1"/>
        <v>7.4996423063595765</v>
      </c>
      <c r="N8" s="19">
        <f>'Phy activity RRs'!$G$4</f>
        <v>0.93831941951583364</v>
      </c>
      <c r="O8" s="15">
        <f>IF(('user page'!$R$36=0),$N8^(I8^0.25),IF(('user page'!$R$36=1),$N8^(I8^0.5),IF(('user page'!$R$36=2),$N8^(I8^0.375),IF(('user page'!$R$36=4),$N8^(I8),IF(('user page'!$R$36=3),$N8^(LN(1+I8)),"")))))</f>
        <v>0.98006871247951299</v>
      </c>
      <c r="P8" s="15">
        <f>IF(('user page'!$R$36=0),$N8^(J8^0.25),IF(('user page'!$R$36=1),$N8^(J8^0.5),IF(('user page'!$R$36=2),$N8^(J8^0.375),IF(('user page'!$R$36=4),$N8^(J8),IF(('user page'!$R$36=3),$N8^(LN(1+J8)),"")))))</f>
        <v>0.98006871247951299</v>
      </c>
      <c r="Q8" s="15">
        <f>IF(('user page'!$R$36=0),$N8^(K8^0.25),IF(('user page'!$R$36=1),$N8^(K8^0.5),IF(('user page'!$R$36=2),$N8^(K8^0.375),IF(('user page'!$R$36=4),$N8^(K8),IF(('user page'!$R$36=3),$N8^(LN(1+K8)),"")))))</f>
        <v>0.98006871247951299</v>
      </c>
      <c r="R8" s="15">
        <f>IF(('user page'!$R$36=0),$N8^(L8^0.25),IF(('user page'!$R$36=1),$N8^(L8^0.5),IF(('user page'!$R$36=2),$N8^(L8^0.375),IF(('user page'!$R$36=4),$N8^(L8),IF(('user page'!$R$36=3),$N8^(LN(1+L8)),"")))))</f>
        <v>0.89323686165556937</v>
      </c>
      <c r="S8" s="15">
        <f>IF(('user page'!$R$36=0),$N8^(M8^0.25),IF(('user page'!$R$36=1),$N8^(M8^0.5),IF(('user page'!$R$36=2),$N8^(M8^0.375),IF(('user page'!$R$36=4),$N8^(M8),IF(('user page'!$R$36=3),$N8^(LN(1+M8)),"")))))</f>
        <v>0.84000349249437722</v>
      </c>
      <c r="T8" s="18">
        <f t="shared" si="2"/>
        <v>1</v>
      </c>
      <c r="U8" s="18">
        <f t="shared" si="2"/>
        <v>1</v>
      </c>
      <c r="V8" s="18">
        <f t="shared" si="2"/>
        <v>1</v>
      </c>
      <c r="W8" s="183">
        <f t="shared" si="2"/>
        <v>0.91140228259683509</v>
      </c>
      <c r="X8" s="183">
        <f t="shared" si="2"/>
        <v>0.85708632649768046</v>
      </c>
      <c r="Y8" s="30">
        <f t="shared" si="8"/>
        <v>-1.743029296366494E-3</v>
      </c>
      <c r="Z8" s="269">
        <f t="shared" si="3"/>
        <v>1.0017430292963665</v>
      </c>
      <c r="AA8" s="269">
        <f>'Inflammatory HD'!F8</f>
        <v>1</v>
      </c>
      <c r="AB8" s="280">
        <f>Z8*AA8*GBDNZ!E42/($T8+$U8+$X8+V8+W8)</f>
        <v>2.1870510788026523</v>
      </c>
      <c r="AC8" s="284">
        <f t="shared" si="4"/>
        <v>2.1870510788026523</v>
      </c>
      <c r="AD8" s="284">
        <f t="shared" si="4"/>
        <v>2.1870510788026523</v>
      </c>
      <c r="AE8" s="284">
        <f t="shared" si="4"/>
        <v>1.9932833453766079</v>
      </c>
      <c r="AF8" s="284">
        <f t="shared" si="4"/>
        <v>1.8744915749937543</v>
      </c>
      <c r="AG8" s="280">
        <f>Z8*AA8*GBDNZ!$F42/($T8+$U8+$X8+V8+W8)</f>
        <v>51.753373371794922</v>
      </c>
      <c r="AH8" s="284">
        <f t="shared" si="5"/>
        <v>51.753373371794922</v>
      </c>
      <c r="AI8" s="284">
        <f t="shared" si="5"/>
        <v>51.753373371794922</v>
      </c>
      <c r="AJ8" s="284">
        <f t="shared" si="5"/>
        <v>47.168142623140156</v>
      </c>
      <c r="AK8" s="284">
        <f t="shared" si="5"/>
        <v>44.357108667094586</v>
      </c>
      <c r="AL8" s="280">
        <f>Z8*GBDNZ!$G42/($T8+$U8+$X8+V8+W8)</f>
        <v>5.5761793723507456</v>
      </c>
      <c r="AM8" s="284">
        <f t="shared" si="6"/>
        <v>5.5761793723507456</v>
      </c>
      <c r="AN8" s="284">
        <f t="shared" si="6"/>
        <v>5.5761793723507456</v>
      </c>
      <c r="AO8" s="284">
        <f t="shared" si="6"/>
        <v>5.0821426081298569</v>
      </c>
      <c r="AP8" s="284">
        <f t="shared" si="6"/>
        <v>4.7792670941402422</v>
      </c>
      <c r="AQ8" s="280">
        <f t="shared" si="9"/>
        <v>1.8146297778316889E-2</v>
      </c>
      <c r="AR8" s="280">
        <f t="shared" si="10"/>
        <v>0.42940566561951243</v>
      </c>
      <c r="AS8" s="280">
        <f t="shared" si="11"/>
        <v>4.6266414322331251E-2</v>
      </c>
      <c r="AT8" s="280">
        <f t="shared" si="7"/>
        <v>0.47567207994184368</v>
      </c>
      <c r="AU8" s="285"/>
      <c r="AV8" s="285"/>
      <c r="AW8" s="285"/>
      <c r="AX8" s="285"/>
    </row>
    <row r="9" spans="1:50" s="275" customFormat="1" ht="13" x14ac:dyDescent="0.3">
      <c r="A9" s="271">
        <v>1</v>
      </c>
      <c r="B9" s="271">
        <v>1</v>
      </c>
      <c r="C9" s="271" t="s">
        <v>35</v>
      </c>
      <c r="D9" s="17">
        <f>Scenario!AN25</f>
        <v>0.48300262725816756</v>
      </c>
      <c r="E9" s="17">
        <f>Scenario!AO25</f>
        <v>1.1517940188609537</v>
      </c>
      <c r="F9" s="17">
        <f>Scenario!AP25</f>
        <v>2.1027054963483303</v>
      </c>
      <c r="G9" s="17">
        <f>Scenario!AQ25</f>
        <v>3.8386815107321977</v>
      </c>
      <c r="H9" s="17">
        <f>Scenario!AR25</f>
        <v>9.1539262000954498</v>
      </c>
      <c r="I9" s="17">
        <f t="shared" si="0"/>
        <v>0.1</v>
      </c>
      <c r="J9" s="17">
        <f t="shared" si="1"/>
        <v>0.1</v>
      </c>
      <c r="K9" s="17">
        <f t="shared" si="1"/>
        <v>0.1</v>
      </c>
      <c r="L9" s="17">
        <f t="shared" si="1"/>
        <v>3.8386815107321977</v>
      </c>
      <c r="M9" s="17">
        <f t="shared" si="1"/>
        <v>9.1539262000954498</v>
      </c>
      <c r="N9" s="19">
        <f>'Phy activity RRs'!$G$4</f>
        <v>0.93831941951583364</v>
      </c>
      <c r="O9" s="15">
        <f>IF(('user page'!$R$36=0),$N9^(I9^0.25),IF(('user page'!$R$36=1),$N9^(I9^0.5),IF(('user page'!$R$36=2),$N9^(I9^0.375),IF(('user page'!$R$36=4),$N9^(I9),IF(('user page'!$R$36=3),$N9^(LN(1+I9)),"")))))</f>
        <v>0.98006871247951299</v>
      </c>
      <c r="P9" s="15">
        <f>IF(('user page'!$R$36=0),$N9^(J9^0.25),IF(('user page'!$R$36=1),$N9^(J9^0.5),IF(('user page'!$R$36=2),$N9^(J9^0.375),IF(('user page'!$R$36=4),$N9^(J9),IF(('user page'!$R$36=3),$N9^(LN(1+J9)),"")))))</f>
        <v>0.98006871247951299</v>
      </c>
      <c r="Q9" s="15">
        <f>IF(('user page'!$R$36=0),$N9^(K9^0.25),IF(('user page'!$R$36=1),$N9^(K9^0.5),IF(('user page'!$R$36=2),$N9^(K9^0.375),IF(('user page'!$R$36=4),$N9^(K9),IF(('user page'!$R$36=3),$N9^(LN(1+K9)),"")))))</f>
        <v>0.98006871247951299</v>
      </c>
      <c r="R9" s="15">
        <f>IF(('user page'!$R$36=0),$N9^(L9^0.25),IF(('user page'!$R$36=1),$N9^(L9^0.5),IF(('user page'!$R$36=2),$N9^(L9^0.375),IF(('user page'!$R$36=4),$N9^(L9),IF(('user page'!$R$36=3),$N9^(LN(1+L9)),"")))))</f>
        <v>0.88273017000203557</v>
      </c>
      <c r="S9" s="15">
        <f>IF(('user page'!$R$36=0),$N9^(M9^0.25),IF(('user page'!$R$36=1),$N9^(M9^0.5),IF(('user page'!$R$36=2),$N9^(M9^0.375),IF(('user page'!$R$36=4),$N9^(M9),IF(('user page'!$R$36=3),$N9^(LN(1+M9)),"")))))</f>
        <v>0.82479457520918198</v>
      </c>
      <c r="T9" s="18">
        <f t="shared" si="2"/>
        <v>1</v>
      </c>
      <c r="U9" s="18">
        <f t="shared" si="2"/>
        <v>1</v>
      </c>
      <c r="V9" s="18">
        <f t="shared" si="2"/>
        <v>1</v>
      </c>
      <c r="W9" s="183">
        <f t="shared" si="2"/>
        <v>0.9006819203204468</v>
      </c>
      <c r="X9" s="183">
        <f t="shared" si="2"/>
        <v>0.84156811120161457</v>
      </c>
      <c r="Y9" s="30">
        <f t="shared" si="8"/>
        <v>-1.7486522416583217E-3</v>
      </c>
      <c r="Z9" s="269">
        <f t="shared" si="3"/>
        <v>1.0017486522416583</v>
      </c>
      <c r="AA9" s="269">
        <f>'Inflammatory HD'!F9</f>
        <v>1</v>
      </c>
      <c r="AB9" s="280">
        <f>Z9*AA9*GBDNZ!E43/($T9+$U9+$X9+V9+W9)</f>
        <v>4.2551875135784032</v>
      </c>
      <c r="AC9" s="284">
        <f t="shared" si="4"/>
        <v>4.2551875135784032</v>
      </c>
      <c r="AD9" s="284">
        <f t="shared" si="4"/>
        <v>4.2551875135784032</v>
      </c>
      <c r="AE9" s="284">
        <f t="shared" si="4"/>
        <v>3.8325704610533835</v>
      </c>
      <c r="AF9" s="284">
        <f t="shared" si="4"/>
        <v>3.5810301186108715</v>
      </c>
      <c r="AG9" s="280">
        <f>Z9*AA9*GBDNZ!$F43/($T9+$U9+$X9+V9+W9)</f>
        <v>63.692546308712807</v>
      </c>
      <c r="AH9" s="284">
        <f t="shared" si="5"/>
        <v>63.692546308712807</v>
      </c>
      <c r="AI9" s="284">
        <f t="shared" si="5"/>
        <v>63.692546308712807</v>
      </c>
      <c r="AJ9" s="284">
        <f t="shared" si="5"/>
        <v>57.366724919430439</v>
      </c>
      <c r="AK9" s="284">
        <f t="shared" si="5"/>
        <v>53.601615894644802</v>
      </c>
      <c r="AL9" s="280">
        <f>Z9*GBDNZ!$G43/($T9+$U9+$X9+V9+W9)</f>
        <v>4.8804185377761717</v>
      </c>
      <c r="AM9" s="284">
        <f t="shared" si="6"/>
        <v>4.8804185377761717</v>
      </c>
      <c r="AN9" s="284">
        <f t="shared" si="6"/>
        <v>4.8804185377761717</v>
      </c>
      <c r="AO9" s="284">
        <f t="shared" si="6"/>
        <v>4.3957047405717491</v>
      </c>
      <c r="AP9" s="284">
        <f t="shared" si="6"/>
        <v>4.1072046107096387</v>
      </c>
      <c r="AQ9" s="280">
        <f t="shared" si="9"/>
        <v>3.522474299946543E-2</v>
      </c>
      <c r="AR9" s="280">
        <f t="shared" si="10"/>
        <v>0.52725140021370009</v>
      </c>
      <c r="AS9" s="280">
        <f t="shared" si="11"/>
        <v>4.0400449609900413E-2</v>
      </c>
      <c r="AT9" s="280">
        <f t="shared" si="7"/>
        <v>0.56765184982360051</v>
      </c>
      <c r="AU9" s="285"/>
      <c r="AV9" s="285"/>
      <c r="AW9" s="285"/>
      <c r="AX9" s="285"/>
    </row>
    <row r="10" spans="1:50" s="275" customFormat="1" ht="13" x14ac:dyDescent="0.3">
      <c r="A10" s="271">
        <v>1</v>
      </c>
      <c r="B10" s="271">
        <v>1</v>
      </c>
      <c r="C10" s="271" t="s">
        <v>34</v>
      </c>
      <c r="D10" s="17">
        <f>Scenario!AN26</f>
        <v>0.23447740333822151</v>
      </c>
      <c r="E10" s="17">
        <f>Scenario!AO26</f>
        <v>0.55914741552463088</v>
      </c>
      <c r="F10" s="17">
        <f>Scenario!AP26</f>
        <v>1.0207748300823047</v>
      </c>
      <c r="G10" s="17">
        <f>Scenario!AQ26</f>
        <v>1.8635179646710851</v>
      </c>
      <c r="H10" s="17">
        <f>Scenario!AR26</f>
        <v>4.4438450737470596</v>
      </c>
      <c r="I10" s="17">
        <f t="shared" si="0"/>
        <v>0.1</v>
      </c>
      <c r="J10" s="17">
        <f t="shared" si="1"/>
        <v>0.1</v>
      </c>
      <c r="K10" s="17">
        <f t="shared" si="1"/>
        <v>0.1</v>
      </c>
      <c r="L10" s="17">
        <f t="shared" si="1"/>
        <v>0.1</v>
      </c>
      <c r="M10" s="17">
        <f t="shared" si="1"/>
        <v>4.4438450737470596</v>
      </c>
      <c r="N10" s="19">
        <f>'Phy activity RRs'!$G$4</f>
        <v>0.93831941951583364</v>
      </c>
      <c r="O10" s="15">
        <f>IF(('user page'!$R$36=0),$N10^(I10^0.25),IF(('user page'!$R$36=1),$N10^(I10^0.5),IF(('user page'!$R$36=2),$N10^(I10^0.375),IF(('user page'!$R$36=4),$N10^(I10),IF(('user page'!$R$36=3),$N10^(LN(1+I10)),"")))))</f>
        <v>0.98006871247951299</v>
      </c>
      <c r="P10" s="15">
        <f>IF(('user page'!$R$36=0),$N10^(J10^0.25),IF(('user page'!$R$36=1),$N10^(J10^0.5),IF(('user page'!$R$36=2),$N10^(J10^0.375),IF(('user page'!$R$36=4),$N10^(J10),IF(('user page'!$R$36=3),$N10^(LN(1+J10)),"")))))</f>
        <v>0.98006871247951299</v>
      </c>
      <c r="Q10" s="15">
        <f>IF(('user page'!$R$36=0),$N10^(K10^0.25),IF(('user page'!$R$36=1),$N10^(K10^0.5),IF(('user page'!$R$36=2),$N10^(K10^0.375),IF(('user page'!$R$36=4),$N10^(K10),IF(('user page'!$R$36=3),$N10^(LN(1+K10)),"")))))</f>
        <v>0.98006871247951299</v>
      </c>
      <c r="R10" s="15">
        <f>IF(('user page'!$R$36=0),$N10^(L10^0.25),IF(('user page'!$R$36=1),$N10^(L10^0.5),IF(('user page'!$R$36=2),$N10^(L10^0.375),IF(('user page'!$R$36=4),$N10^(L10),IF(('user page'!$R$36=3),$N10^(LN(1+L10)),"")))))</f>
        <v>0.98006871247951299</v>
      </c>
      <c r="S10" s="15">
        <f>IF(('user page'!$R$36=0),$N10^(M10^0.25),IF(('user page'!$R$36=1),$N10^(M10^0.5),IF(('user page'!$R$36=2),$N10^(M10^0.375),IF(('user page'!$R$36=4),$N10^(M10),IF(('user page'!$R$36=3),$N10^(LN(1+M10)),"")))))</f>
        <v>0.87440795059483067</v>
      </c>
      <c r="T10" s="18">
        <f t="shared" si="2"/>
        <v>1</v>
      </c>
      <c r="U10" s="18">
        <f t="shared" si="2"/>
        <v>1</v>
      </c>
      <c r="V10" s="18">
        <f t="shared" si="2"/>
        <v>1</v>
      </c>
      <c r="W10" s="183">
        <f t="shared" si="2"/>
        <v>1</v>
      </c>
      <c r="X10" s="183">
        <f t="shared" si="2"/>
        <v>0.89219045507802497</v>
      </c>
      <c r="Y10" s="30">
        <f t="shared" si="8"/>
        <v>-8.5460582873575497E-4</v>
      </c>
      <c r="Z10" s="269">
        <f t="shared" si="3"/>
        <v>1.0008546058287358</v>
      </c>
      <c r="AA10" s="269">
        <f>'Inflammatory HD'!F10</f>
        <v>1</v>
      </c>
      <c r="AB10" s="280">
        <f>Z10*AA10*GBDNZ!E44/($T10+$U10+$X10+V10+W10)</f>
        <v>14.434682257253717</v>
      </c>
      <c r="AC10" s="284">
        <f t="shared" si="4"/>
        <v>14.434682257253717</v>
      </c>
      <c r="AD10" s="284">
        <f t="shared" si="4"/>
        <v>14.434682257253717</v>
      </c>
      <c r="AE10" s="284">
        <f t="shared" si="4"/>
        <v>14.434682257253717</v>
      </c>
      <c r="AF10" s="284">
        <f t="shared" si="4"/>
        <v>12.878485732005887</v>
      </c>
      <c r="AG10" s="280">
        <f>Z10*AA10*GBDNZ!$F44/($T10+$U10+$X10+V10+W10)</f>
        <v>94.255642375223943</v>
      </c>
      <c r="AH10" s="284">
        <f t="shared" si="5"/>
        <v>94.255642375223943</v>
      </c>
      <c r="AI10" s="284">
        <f t="shared" si="5"/>
        <v>94.255642375223943</v>
      </c>
      <c r="AJ10" s="284">
        <f t="shared" si="5"/>
        <v>94.255642375223943</v>
      </c>
      <c r="AK10" s="284">
        <f t="shared" si="5"/>
        <v>84.093984464422618</v>
      </c>
      <c r="AL10" s="280">
        <f>Z10*GBDNZ!$G44/($T10+$U10+$X10+V10+W10)</f>
        <v>3.8150969745537027</v>
      </c>
      <c r="AM10" s="284">
        <f t="shared" si="6"/>
        <v>3.8150969745537027</v>
      </c>
      <c r="AN10" s="284">
        <f t="shared" si="6"/>
        <v>3.8150969745537027</v>
      </c>
      <c r="AO10" s="284">
        <f t="shared" si="6"/>
        <v>3.8150969745537027</v>
      </c>
      <c r="AP10" s="284">
        <f t="shared" si="6"/>
        <v>3.4037931058938642</v>
      </c>
      <c r="AQ10" s="280">
        <f t="shared" si="9"/>
        <v>6.0298352020776491E-2</v>
      </c>
      <c r="AR10" s="280">
        <f t="shared" si="10"/>
        <v>0.39373640531840692</v>
      </c>
      <c r="AS10" s="280">
        <f t="shared" si="11"/>
        <v>1.5936898108675379E-2</v>
      </c>
      <c r="AT10" s="280">
        <f t="shared" si="7"/>
        <v>0.4096733034270823</v>
      </c>
      <c r="AU10" s="285"/>
      <c r="AV10" s="285"/>
      <c r="AW10" s="285"/>
      <c r="AX10" s="285"/>
    </row>
    <row r="11" spans="1:50" s="275" customFormat="1" ht="13" x14ac:dyDescent="0.3">
      <c r="A11" s="271">
        <v>1</v>
      </c>
      <c r="B11" s="271">
        <v>2</v>
      </c>
      <c r="C11" s="271" t="s">
        <v>2</v>
      </c>
      <c r="D11" s="17"/>
      <c r="E11" s="17"/>
      <c r="F11" s="17"/>
      <c r="G11" s="17"/>
      <c r="H11" s="17"/>
      <c r="I11" s="17"/>
      <c r="J11" s="17"/>
      <c r="K11" s="17"/>
      <c r="L11" s="17"/>
      <c r="M11" s="17"/>
      <c r="N11" s="19"/>
      <c r="O11" s="15"/>
      <c r="P11" s="15"/>
      <c r="Q11" s="15"/>
      <c r="R11" s="15"/>
      <c r="S11" s="15"/>
      <c r="T11" s="18"/>
      <c r="U11" s="18"/>
      <c r="V11" s="18"/>
      <c r="W11" s="183"/>
      <c r="X11" s="183"/>
      <c r="Y11" s="30"/>
      <c r="Z11" s="269"/>
      <c r="AA11" s="269"/>
      <c r="AB11" s="280"/>
      <c r="AC11" s="284"/>
      <c r="AD11" s="284"/>
      <c r="AE11" s="284"/>
      <c r="AF11" s="284"/>
      <c r="AG11" s="280"/>
      <c r="AH11" s="284"/>
      <c r="AI11" s="284"/>
      <c r="AJ11" s="284"/>
      <c r="AK11" s="284"/>
      <c r="AL11" s="280"/>
      <c r="AM11" s="284"/>
      <c r="AN11" s="284"/>
      <c r="AO11" s="284"/>
      <c r="AP11" s="284"/>
      <c r="AQ11" s="280"/>
      <c r="AR11" s="280"/>
      <c r="AS11" s="280"/>
      <c r="AT11" s="280"/>
      <c r="AU11" s="285"/>
      <c r="AV11" s="285"/>
      <c r="AW11" s="285"/>
      <c r="AX11" s="285"/>
    </row>
    <row r="12" spans="1:50" s="275" customFormat="1" ht="13" x14ac:dyDescent="0.3">
      <c r="A12" s="271">
        <v>1</v>
      </c>
      <c r="B12" s="271">
        <v>2</v>
      </c>
      <c r="C12" s="271" t="s">
        <v>40</v>
      </c>
      <c r="D12" s="17"/>
      <c r="E12" s="17"/>
      <c r="F12" s="17"/>
      <c r="G12" s="17"/>
      <c r="H12" s="17"/>
      <c r="I12" s="17"/>
      <c r="J12" s="17"/>
      <c r="K12" s="17"/>
      <c r="L12" s="17"/>
      <c r="M12" s="17"/>
      <c r="N12" s="19"/>
      <c r="O12" s="15"/>
      <c r="P12" s="15"/>
      <c r="Q12" s="15"/>
      <c r="R12" s="15"/>
      <c r="S12" s="15"/>
      <c r="T12" s="18"/>
      <c r="U12" s="18"/>
      <c r="V12" s="18"/>
      <c r="W12" s="183"/>
      <c r="X12" s="183"/>
      <c r="Y12" s="30"/>
      <c r="Z12" s="269"/>
      <c r="AA12" s="269"/>
      <c r="AB12" s="280"/>
      <c r="AC12" s="284"/>
      <c r="AD12" s="284"/>
      <c r="AE12" s="284"/>
      <c r="AF12" s="284"/>
      <c r="AG12" s="280"/>
      <c r="AH12" s="284"/>
      <c r="AI12" s="284"/>
      <c r="AJ12" s="284"/>
      <c r="AK12" s="284"/>
      <c r="AL12" s="280"/>
      <c r="AM12" s="284"/>
      <c r="AN12" s="284"/>
      <c r="AO12" s="284"/>
      <c r="AP12" s="284"/>
      <c r="AQ12" s="280"/>
      <c r="AR12" s="280"/>
      <c r="AS12" s="280"/>
      <c r="AT12" s="280"/>
      <c r="AU12" s="285"/>
      <c r="AV12" s="285"/>
      <c r="AW12" s="285"/>
      <c r="AX12" s="285"/>
    </row>
    <row r="13" spans="1:50" s="275" customFormat="1" ht="13" x14ac:dyDescent="0.3">
      <c r="A13" s="271">
        <v>1</v>
      </c>
      <c r="B13" s="271">
        <v>2</v>
      </c>
      <c r="C13" s="271" t="s">
        <v>39</v>
      </c>
      <c r="D13" s="17">
        <f>Scenario!AN29</f>
        <v>0.36317941114117153</v>
      </c>
      <c r="E13" s="17">
        <f>Scenario!AO29</f>
        <v>0.86605713906863857</v>
      </c>
      <c r="F13" s="17">
        <f>Scenario!AP29</f>
        <v>1.5810666461632132</v>
      </c>
      <c r="G13" s="17">
        <f>Scenario!AQ29</f>
        <v>2.8863820028064824</v>
      </c>
      <c r="H13" s="17">
        <f>Scenario!AR29</f>
        <v>6.8830216221648746</v>
      </c>
      <c r="I13" s="17">
        <f t="shared" ref="I13:I18" si="12">IF(D13&gt;2.5,D13,0.1)</f>
        <v>0.1</v>
      </c>
      <c r="J13" s="17">
        <f t="shared" si="1"/>
        <v>0.1</v>
      </c>
      <c r="K13" s="17">
        <f t="shared" si="1"/>
        <v>0.1</v>
      </c>
      <c r="L13" s="17">
        <f t="shared" si="1"/>
        <v>2.8863820028064824</v>
      </c>
      <c r="M13" s="17">
        <f t="shared" si="1"/>
        <v>6.8830216221648746</v>
      </c>
      <c r="N13" s="19">
        <f>'Phy activity RRs'!$G$4</f>
        <v>0.93831941951583364</v>
      </c>
      <c r="O13" s="15">
        <f>IF(('user page'!$R$36=0),$N13^(I13^0.25),IF(('user page'!$R$36=1),$N13^(I13^0.5),IF(('user page'!$R$36=2),$N13^(I13^0.375),IF(('user page'!$R$36=4),$N13^(I13),IF(('user page'!$R$36=3),$N13^(LN(1+I13)),"")))))</f>
        <v>0.98006871247951299</v>
      </c>
      <c r="P13" s="15">
        <f>IF(('user page'!$R$36=0),$N13^(J13^0.25),IF(('user page'!$R$36=1),$N13^(J13^0.5),IF(('user page'!$R$36=2),$N13^(J13^0.375),IF(('user page'!$R$36=4),$N13^(J13),IF(('user page'!$R$36=3),$N13^(LN(1+J13)),"")))))</f>
        <v>0.98006871247951299</v>
      </c>
      <c r="Q13" s="15">
        <f>IF(('user page'!$R$36=0),$N13^(K13^0.25),IF(('user page'!$R$36=1),$N13^(K13^0.5),IF(('user page'!$R$36=2),$N13^(K13^0.375),IF(('user page'!$R$36=4),$N13^(K13),IF(('user page'!$R$36=3),$N13^(LN(1+K13)),"")))))</f>
        <v>0.98006871247951299</v>
      </c>
      <c r="R13" s="15">
        <f>IF(('user page'!$R$36=0),$N13^(L13^0.25),IF(('user page'!$R$36=1),$N13^(L13^0.5),IF(('user page'!$R$36=2),$N13^(L13^0.375),IF(('user page'!$R$36=4),$N13^(L13),IF(('user page'!$R$36=3),$N13^(LN(1+L13)),"")))))</f>
        <v>0.89748175623697668</v>
      </c>
      <c r="S13" s="15">
        <f>IF(('user page'!$R$36=0),$N13^(M13^0.25),IF(('user page'!$R$36=1),$N13^(M13^0.5),IF(('user page'!$R$36=2),$N13^(M13^0.375),IF(('user page'!$R$36=4),$N13^(M13),IF(('user page'!$R$36=3),$N13^(LN(1+M13)),"")))))</f>
        <v>0.84617590404534304</v>
      </c>
      <c r="T13" s="18">
        <f t="shared" ref="T13:X18" si="13">O13/$O13</f>
        <v>1</v>
      </c>
      <c r="U13" s="18">
        <f t="shared" si="13"/>
        <v>1</v>
      </c>
      <c r="V13" s="18">
        <f t="shared" si="13"/>
        <v>1</v>
      </c>
      <c r="W13" s="183">
        <f t="shared" si="13"/>
        <v>0.9157335039972897</v>
      </c>
      <c r="X13" s="183">
        <f t="shared" si="13"/>
        <v>0.86338426405284441</v>
      </c>
      <c r="Y13" s="30">
        <f t="shared" si="8"/>
        <v>-1.5820674173621097E-3</v>
      </c>
      <c r="Z13" s="269">
        <f t="shared" ref="Z13:Z18" si="14">SUM(O13:S13)/SUM(O30:S30)</f>
        <v>1.0015820674173621</v>
      </c>
      <c r="AA13" s="269">
        <f>'Inflammatory HD'!F13</f>
        <v>1</v>
      </c>
      <c r="AB13" s="280">
        <f>Z13*AA13*GBDNZ!E47/($T13+$U13+$X13+V13+W13)</f>
        <v>1.08604706976248E-2</v>
      </c>
      <c r="AC13" s="284">
        <f t="shared" ref="AC13:AF18" si="15">$AB13*U13</f>
        <v>1.08604706976248E-2</v>
      </c>
      <c r="AD13" s="284">
        <f t="shared" si="15"/>
        <v>1.08604706976248E-2</v>
      </c>
      <c r="AE13" s="284">
        <f t="shared" si="15"/>
        <v>9.9452968869958476E-3</v>
      </c>
      <c r="AF13" s="284">
        <f t="shared" si="15"/>
        <v>9.3767595005362706E-3</v>
      </c>
      <c r="AG13" s="280">
        <f>Z13*AA13*GBDNZ!$F47/($T13+$U13+$X13+V13+W13)</f>
        <v>0.68426164431435488</v>
      </c>
      <c r="AH13" s="284">
        <f t="shared" ref="AH13:AK18" si="16">$AG13*U13</f>
        <v>0.68426164431435488</v>
      </c>
      <c r="AI13" s="284">
        <f t="shared" si="16"/>
        <v>0.68426164431435488</v>
      </c>
      <c r="AJ13" s="284">
        <f t="shared" si="16"/>
        <v>0.62660131319893131</v>
      </c>
      <c r="AK13" s="284">
        <f t="shared" si="16"/>
        <v>0.59078073619593852</v>
      </c>
      <c r="AL13" s="280">
        <f>Z13*GBDNZ!$G47/($T13+$U13+$X13+V13+W13)</f>
        <v>0.23122267260170803</v>
      </c>
      <c r="AM13" s="284">
        <f t="shared" ref="AM13:AP18" si="17">$AL13*U13</f>
        <v>0.23122267260170803</v>
      </c>
      <c r="AN13" s="284">
        <f t="shared" si="17"/>
        <v>0.23122267260170803</v>
      </c>
      <c r="AO13" s="284">
        <f t="shared" si="17"/>
        <v>0.21173834818518023</v>
      </c>
      <c r="AP13" s="284">
        <f t="shared" si="17"/>
        <v>0.19963401701655747</v>
      </c>
      <c r="AQ13" s="280">
        <f t="shared" si="9"/>
        <v>8.1985080406502334E-5</v>
      </c>
      <c r="AR13" s="280">
        <f t="shared" si="10"/>
        <v>5.1654525379336569E-3</v>
      </c>
      <c r="AS13" s="280">
        <f t="shared" si="11"/>
        <v>1.7454869068619372E-3</v>
      </c>
      <c r="AT13" s="280">
        <f t="shared" ref="AT13:AT18" si="18">AR13+AS13</f>
        <v>6.9109394447955941E-3</v>
      </c>
      <c r="AU13" s="285"/>
      <c r="AV13" s="285"/>
      <c r="AW13" s="285"/>
      <c r="AX13" s="285"/>
    </row>
    <row r="14" spans="1:50" s="275" customFormat="1" ht="13" x14ac:dyDescent="0.3">
      <c r="A14" s="271">
        <v>1</v>
      </c>
      <c r="B14" s="271">
        <v>2</v>
      </c>
      <c r="C14" s="271" t="s">
        <v>38</v>
      </c>
      <c r="D14" s="17">
        <f>Scenario!AN30</f>
        <v>0.30288827772466836</v>
      </c>
      <c r="E14" s="17">
        <f>Scenario!AO30</f>
        <v>0.72228366261017962</v>
      </c>
      <c r="F14" s="17">
        <f>Scenario!AP30</f>
        <v>1.3185949939165058</v>
      </c>
      <c r="G14" s="17">
        <f>Scenario!AQ30</f>
        <v>2.4072159568145346</v>
      </c>
      <c r="H14" s="17">
        <f>Scenario!AR30</f>
        <v>5.7403765211480957</v>
      </c>
      <c r="I14" s="17">
        <f t="shared" si="12"/>
        <v>0.1</v>
      </c>
      <c r="J14" s="17">
        <f t="shared" si="1"/>
        <v>0.1</v>
      </c>
      <c r="K14" s="17">
        <f t="shared" si="1"/>
        <v>0.1</v>
      </c>
      <c r="L14" s="17">
        <f t="shared" si="1"/>
        <v>0.1</v>
      </c>
      <c r="M14" s="17">
        <f t="shared" si="1"/>
        <v>5.7403765211480957</v>
      </c>
      <c r="N14" s="19">
        <f>'Phy activity RRs'!$G$4</f>
        <v>0.93831941951583364</v>
      </c>
      <c r="O14" s="15">
        <f>IF(('user page'!$R$36=0),$N14^(I14^0.25),IF(('user page'!$R$36=1),$N14^(I14^0.5),IF(('user page'!$R$36=2),$N14^(I14^0.375),IF(('user page'!$R$36=4),$N14^(I14),IF(('user page'!$R$36=3),$N14^(LN(1+I14)),"")))))</f>
        <v>0.98006871247951299</v>
      </c>
      <c r="P14" s="15">
        <f>IF(('user page'!$R$36=0),$N14^(J14^0.25),IF(('user page'!$R$36=1),$N14^(J14^0.5),IF(('user page'!$R$36=2),$N14^(J14^0.375),IF(('user page'!$R$36=4),$N14^(J14),IF(('user page'!$R$36=3),$N14^(LN(1+J14)),"")))))</f>
        <v>0.98006871247951299</v>
      </c>
      <c r="Q14" s="15">
        <f>IF(('user page'!$R$36=0),$N14^(K14^0.25),IF(('user page'!$R$36=1),$N14^(K14^0.5),IF(('user page'!$R$36=2),$N14^(K14^0.375),IF(('user page'!$R$36=4),$N14^(K14),IF(('user page'!$R$36=3),$N14^(LN(1+K14)),"")))))</f>
        <v>0.98006871247951299</v>
      </c>
      <c r="R14" s="15">
        <f>IF(('user page'!$R$36=0),$N14^(L14^0.25),IF(('user page'!$R$36=1),$N14^(L14^0.5),IF(('user page'!$R$36=2),$N14^(L14^0.375),IF(('user page'!$R$36=4),$N14^(L14),IF(('user page'!$R$36=3),$N14^(LN(1+L14)),"")))))</f>
        <v>0.98006871247951299</v>
      </c>
      <c r="S14" s="15">
        <f>IF(('user page'!$R$36=0),$N14^(M14^0.25),IF(('user page'!$R$36=1),$N14^(M14^0.5),IF(('user page'!$R$36=2),$N14^(M14^0.375),IF(('user page'!$R$36=4),$N14^(M14),IF(('user page'!$R$36=3),$N14^(LN(1+M14)),"")))))</f>
        <v>0.85852871211591497</v>
      </c>
      <c r="T14" s="18">
        <f t="shared" si="13"/>
        <v>1</v>
      </c>
      <c r="U14" s="18">
        <f t="shared" si="13"/>
        <v>1</v>
      </c>
      <c r="V14" s="18">
        <f t="shared" si="13"/>
        <v>1</v>
      </c>
      <c r="W14" s="183">
        <f t="shared" si="13"/>
        <v>1</v>
      </c>
      <c r="X14" s="183">
        <f t="shared" si="13"/>
        <v>0.87598828651910599</v>
      </c>
      <c r="Y14" s="30">
        <f t="shared" si="8"/>
        <v>-1.7133614810808107E-2</v>
      </c>
      <c r="Z14" s="269">
        <f t="shared" si="14"/>
        <v>1.0171336148108081</v>
      </c>
      <c r="AA14" s="269">
        <f>'Inflammatory HD'!F14</f>
        <v>1</v>
      </c>
      <c r="AB14" s="280">
        <f>Z14*AA14*GBDNZ!E48/($T14+$U14+$X14+V14+W14)</f>
        <v>0.16742013121851576</v>
      </c>
      <c r="AC14" s="284">
        <f t="shared" si="15"/>
        <v>0.16742013121851576</v>
      </c>
      <c r="AD14" s="284">
        <f t="shared" si="15"/>
        <v>0.16742013121851576</v>
      </c>
      <c r="AE14" s="284">
        <f t="shared" si="15"/>
        <v>0.16742013121851576</v>
      </c>
      <c r="AF14" s="284">
        <f t="shared" si="15"/>
        <v>0.1466580738749115</v>
      </c>
      <c r="AG14" s="280">
        <f>Z14*AA14*GBDNZ!$F48/($T14+$U14+$X14+V14+W14)</f>
        <v>7.8200830325209916</v>
      </c>
      <c r="AH14" s="284">
        <f t="shared" si="16"/>
        <v>7.8200830325209916</v>
      </c>
      <c r="AI14" s="284">
        <f t="shared" si="16"/>
        <v>7.8200830325209916</v>
      </c>
      <c r="AJ14" s="284">
        <f t="shared" si="16"/>
        <v>7.8200830325209916</v>
      </c>
      <c r="AK14" s="284">
        <f t="shared" si="16"/>
        <v>6.8503011360951973</v>
      </c>
      <c r="AL14" s="280">
        <f>Z14*GBDNZ!$G48/($T14+$U14+$X14+V14+W14)</f>
        <v>0.65290673794870735</v>
      </c>
      <c r="AM14" s="284">
        <f t="shared" si="17"/>
        <v>0.65290673794870735</v>
      </c>
      <c r="AN14" s="284">
        <f t="shared" si="17"/>
        <v>0.65290673794870735</v>
      </c>
      <c r="AO14" s="284">
        <f t="shared" si="17"/>
        <v>0.65290673794870735</v>
      </c>
      <c r="AP14" s="284">
        <f t="shared" si="17"/>
        <v>0.57193865463246707</v>
      </c>
      <c r="AQ14" s="280">
        <f t="shared" si="9"/>
        <v>1.3751222948974434E-2</v>
      </c>
      <c r="AR14" s="280">
        <f t="shared" si="10"/>
        <v>0.64231048247916256</v>
      </c>
      <c r="AS14" s="280">
        <f t="shared" si="11"/>
        <v>5.3627159727296703E-2</v>
      </c>
      <c r="AT14" s="280">
        <f t="shared" si="18"/>
        <v>0.69593764220645926</v>
      </c>
      <c r="AU14" s="285"/>
      <c r="AV14" s="285"/>
      <c r="AW14" s="285"/>
      <c r="AX14" s="285"/>
    </row>
    <row r="15" spans="1:50" s="275" customFormat="1" ht="13" x14ac:dyDescent="0.3">
      <c r="A15" s="271">
        <v>1</v>
      </c>
      <c r="B15" s="271">
        <v>2</v>
      </c>
      <c r="C15" s="271" t="s">
        <v>37</v>
      </c>
      <c r="D15" s="17">
        <f>Scenario!AN31</f>
        <v>0.44144644170812064</v>
      </c>
      <c r="E15" s="17">
        <f>Scenario!AO31</f>
        <v>1.0526969057977646</v>
      </c>
      <c r="F15" s="17">
        <f>Scenario!AP31</f>
        <v>1.9217946382451725</v>
      </c>
      <c r="G15" s="17">
        <f>Scenario!AQ31</f>
        <v>3.5084121661676253</v>
      </c>
      <c r="H15" s="17">
        <f>Scenario!AR31</f>
        <v>8.3663481741911028</v>
      </c>
      <c r="I15" s="17">
        <f t="shared" si="12"/>
        <v>0.1</v>
      </c>
      <c r="J15" s="17">
        <f t="shared" si="1"/>
        <v>0.1</v>
      </c>
      <c r="K15" s="17">
        <f t="shared" si="1"/>
        <v>0.1</v>
      </c>
      <c r="L15" s="17">
        <f t="shared" si="1"/>
        <v>3.5084121661676253</v>
      </c>
      <c r="M15" s="17">
        <f t="shared" si="1"/>
        <v>8.3663481741911028</v>
      </c>
      <c r="N15" s="19">
        <f>'Phy activity RRs'!$G$4</f>
        <v>0.93831941951583364</v>
      </c>
      <c r="O15" s="15">
        <f>IF(('user page'!$R$36=0),$N15^(I15^0.25),IF(('user page'!$R$36=1),$N15^(I15^0.5),IF(('user page'!$R$36=2),$N15^(I15^0.375),IF(('user page'!$R$36=4),$N15^(I15),IF(('user page'!$R$36=3),$N15^(LN(1+I15)),"")))))</f>
        <v>0.98006871247951299</v>
      </c>
      <c r="P15" s="15">
        <f>IF(('user page'!$R$36=0),$N15^(J15^0.25),IF(('user page'!$R$36=1),$N15^(J15^0.5),IF(('user page'!$R$36=2),$N15^(J15^0.375),IF(('user page'!$R$36=4),$N15^(J15),IF(('user page'!$R$36=3),$N15^(LN(1+J15)),"")))))</f>
        <v>0.98006871247951299</v>
      </c>
      <c r="Q15" s="15">
        <f>IF(('user page'!$R$36=0),$N15^(K15^0.25),IF(('user page'!$R$36=1),$N15^(K15^0.5),IF(('user page'!$R$36=2),$N15^(K15^0.375),IF(('user page'!$R$36=4),$N15^(K15),IF(('user page'!$R$36=3),$N15^(LN(1+K15)),"")))))</f>
        <v>0.98006871247951299</v>
      </c>
      <c r="R15" s="15">
        <f>IF(('user page'!$R$36=0),$N15^(L15^0.25),IF(('user page'!$R$36=1),$N15^(L15^0.5),IF(('user page'!$R$36=2),$N15^(L15^0.375),IF(('user page'!$R$36=4),$N15^(L15),IF(('user page'!$R$36=3),$N15^(LN(1+L15)),"")))))</f>
        <v>0.88758668725991674</v>
      </c>
      <c r="S15" s="15">
        <f>IF(('user page'!$R$36=0),$N15^(M15^0.25),IF(('user page'!$R$36=1),$N15^(M15^0.5),IF(('user page'!$R$36=2),$N15^(M15^0.375),IF(('user page'!$R$36=4),$N15^(M15),IF(('user page'!$R$36=3),$N15^(LN(1+M15)),"")))))</f>
        <v>0.83181243327265386</v>
      </c>
      <c r="T15" s="18">
        <f t="shared" si="13"/>
        <v>1</v>
      </c>
      <c r="U15" s="18">
        <f t="shared" si="13"/>
        <v>1</v>
      </c>
      <c r="V15" s="18">
        <f t="shared" si="13"/>
        <v>1</v>
      </c>
      <c r="W15" s="183">
        <f t="shared" si="13"/>
        <v>0.90563720273691584</v>
      </c>
      <c r="X15" s="183">
        <f t="shared" si="13"/>
        <v>0.84872868879593155</v>
      </c>
      <c r="Y15" s="30">
        <f t="shared" si="8"/>
        <v>-1.2169761662024214E-3</v>
      </c>
      <c r="Z15" s="269">
        <f t="shared" si="14"/>
        <v>1.0012169761662024</v>
      </c>
      <c r="AA15" s="269">
        <f>'Inflammatory HD'!F15</f>
        <v>1</v>
      </c>
      <c r="AB15" s="280">
        <f>Z15*AA15*GBDNZ!E49/($T15+$U15+$X15+V15+W15)</f>
        <v>0.98101005902413174</v>
      </c>
      <c r="AC15" s="284">
        <f t="shared" si="15"/>
        <v>0.98101005902413174</v>
      </c>
      <c r="AD15" s="284">
        <f t="shared" si="15"/>
        <v>0.98101005902413174</v>
      </c>
      <c r="AE15" s="284">
        <f t="shared" si="15"/>
        <v>0.88843920571139134</v>
      </c>
      <c r="AF15" s="284">
        <f t="shared" si="15"/>
        <v>0.83261138109117072</v>
      </c>
      <c r="AG15" s="280">
        <f>Z15*AA15*GBDNZ!$F49/($T15+$U15+$X15+V15+W15)</f>
        <v>33.139929570763783</v>
      </c>
      <c r="AH15" s="284">
        <f t="shared" si="16"/>
        <v>33.139929570763783</v>
      </c>
      <c r="AI15" s="284">
        <f t="shared" si="16"/>
        <v>33.139929570763783</v>
      </c>
      <c r="AJ15" s="284">
        <f t="shared" si="16"/>
        <v>30.012753115364912</v>
      </c>
      <c r="AK15" s="284">
        <f t="shared" si="16"/>
        <v>28.126808971383866</v>
      </c>
      <c r="AL15" s="280">
        <f>Z15*GBDNZ!$G49/($T15+$U15+$X15+V15+W15)</f>
        <v>2.4442376302815103</v>
      </c>
      <c r="AM15" s="284">
        <f t="shared" si="17"/>
        <v>2.4442376302815103</v>
      </c>
      <c r="AN15" s="284">
        <f t="shared" si="17"/>
        <v>2.4442376302815103</v>
      </c>
      <c r="AO15" s="284">
        <f t="shared" si="17"/>
        <v>2.2135925303124551</v>
      </c>
      <c r="AP15" s="284">
        <f t="shared" si="17"/>
        <v>2.0744945990545012</v>
      </c>
      <c r="AQ15" s="280">
        <f t="shared" si="9"/>
        <v>5.6691758749574106E-3</v>
      </c>
      <c r="AR15" s="280">
        <f t="shared" si="10"/>
        <v>0.19151290804011722</v>
      </c>
      <c r="AS15" s="280">
        <f t="shared" si="11"/>
        <v>1.412504681148663E-2</v>
      </c>
      <c r="AT15" s="280">
        <f t="shared" si="18"/>
        <v>0.20563795485160385</v>
      </c>
      <c r="AU15" s="285"/>
      <c r="AV15" s="285"/>
      <c r="AW15" s="285"/>
      <c r="AX15" s="285"/>
    </row>
    <row r="16" spans="1:50" s="275" customFormat="1" ht="13" x14ac:dyDescent="0.3">
      <c r="A16" s="271">
        <v>1</v>
      </c>
      <c r="B16" s="271">
        <v>2</v>
      </c>
      <c r="C16" s="271" t="s">
        <v>36</v>
      </c>
      <c r="D16" s="17">
        <f>Scenario!AN32</f>
        <v>0.3316861829647314</v>
      </c>
      <c r="E16" s="17">
        <f>Scenario!AO32</f>
        <v>0.79095669488646103</v>
      </c>
      <c r="F16" s="17">
        <f>Scenario!AP32</f>
        <v>1.4439639054177522</v>
      </c>
      <c r="G16" s="17">
        <f>Scenario!AQ32</f>
        <v>2.6360883897045526</v>
      </c>
      <c r="H16" s="17">
        <f>Scenario!AR32</f>
        <v>6.2861580229616978</v>
      </c>
      <c r="I16" s="17">
        <f t="shared" si="12"/>
        <v>0.1</v>
      </c>
      <c r="J16" s="17">
        <f t="shared" si="1"/>
        <v>0.1</v>
      </c>
      <c r="K16" s="17">
        <f t="shared" si="1"/>
        <v>0.1</v>
      </c>
      <c r="L16" s="17">
        <f t="shared" si="1"/>
        <v>2.6360883897045526</v>
      </c>
      <c r="M16" s="17">
        <f t="shared" si="1"/>
        <v>6.2861580229616978</v>
      </c>
      <c r="N16" s="19">
        <f>'Phy activity RRs'!$G$4</f>
        <v>0.93831941951583364</v>
      </c>
      <c r="O16" s="15">
        <f>IF(('user page'!$R$36=0),$N16^(I16^0.25),IF(('user page'!$R$36=1),$N16^(I16^0.5),IF(('user page'!$R$36=2),$N16^(I16^0.375),IF(('user page'!$R$36=4),$N16^(I16),IF(('user page'!$R$36=3),$N16^(LN(1+I16)),"")))))</f>
        <v>0.98006871247951299</v>
      </c>
      <c r="P16" s="15">
        <f>IF(('user page'!$R$36=0),$N16^(J16^0.25),IF(('user page'!$R$36=1),$N16^(J16^0.5),IF(('user page'!$R$36=2),$N16^(J16^0.375),IF(('user page'!$R$36=4),$N16^(J16),IF(('user page'!$R$36=3),$N16^(LN(1+J16)),"")))))</f>
        <v>0.98006871247951299</v>
      </c>
      <c r="Q16" s="15">
        <f>IF(('user page'!$R$36=0),$N16^(K16^0.25),IF(('user page'!$R$36=1),$N16^(K16^0.5),IF(('user page'!$R$36=2),$N16^(K16^0.375),IF(('user page'!$R$36=4),$N16^(K16),IF(('user page'!$R$36=3),$N16^(LN(1+K16)),"")))))</f>
        <v>0.98006871247951299</v>
      </c>
      <c r="R16" s="15">
        <f>IF(('user page'!$R$36=0),$N16^(L16^0.25),IF(('user page'!$R$36=1),$N16^(L16^0.5),IF(('user page'!$R$36=2),$N16^(L16^0.375),IF(('user page'!$R$36=4),$N16^(L16),IF(('user page'!$R$36=3),$N16^(LN(1+L16)),"")))))</f>
        <v>0.90179641955294909</v>
      </c>
      <c r="S16" s="15">
        <f>IF(('user page'!$R$36=0),$N16^(M16^0.25),IF(('user page'!$R$36=1),$N16^(M16^0.5),IF(('user page'!$R$36=2),$N16^(M16^0.375),IF(('user page'!$R$36=4),$N16^(M16),IF(('user page'!$R$36=3),$N16^(LN(1+M16)),"")))))</f>
        <v>0.85246606793714386</v>
      </c>
      <c r="T16" s="18">
        <f t="shared" si="13"/>
        <v>1</v>
      </c>
      <c r="U16" s="18">
        <f t="shared" si="13"/>
        <v>1</v>
      </c>
      <c r="V16" s="18">
        <f t="shared" si="13"/>
        <v>1</v>
      </c>
      <c r="W16" s="183">
        <f t="shared" si="13"/>
        <v>0.92013591299273312</v>
      </c>
      <c r="X16" s="183">
        <f t="shared" si="13"/>
        <v>0.86980234863375816</v>
      </c>
      <c r="Y16" s="30">
        <f t="shared" si="8"/>
        <v>-1.6682904076787963E-3</v>
      </c>
      <c r="Z16" s="269">
        <f t="shared" si="14"/>
        <v>1.0016682904076788</v>
      </c>
      <c r="AA16" s="269">
        <f>'Inflammatory HD'!F16</f>
        <v>1</v>
      </c>
      <c r="AB16" s="280">
        <f>Z16*AA16*GBDNZ!E50/($T16+$U16+$X16+V16+W16)</f>
        <v>2.0683828501999071</v>
      </c>
      <c r="AC16" s="284">
        <f t="shared" si="15"/>
        <v>2.0683828501999071</v>
      </c>
      <c r="AD16" s="284">
        <f t="shared" si="15"/>
        <v>2.0683828501999071</v>
      </c>
      <c r="AE16" s="284">
        <f t="shared" si="15"/>
        <v>1.9031933422872029</v>
      </c>
      <c r="AF16" s="284">
        <f t="shared" si="15"/>
        <v>1.799084260977666</v>
      </c>
      <c r="AG16" s="280">
        <f>Z16*AA16*GBDNZ!$F50/($T16+$U16+$X16+V16+W16)</f>
        <v>48.651708496971338</v>
      </c>
      <c r="AH16" s="284">
        <f t="shared" si="16"/>
        <v>48.651708496971338</v>
      </c>
      <c r="AI16" s="284">
        <f t="shared" si="16"/>
        <v>48.651708496971338</v>
      </c>
      <c r="AJ16" s="284">
        <f t="shared" si="16"/>
        <v>44.766184216517033</v>
      </c>
      <c r="AK16" s="284">
        <f t="shared" si="16"/>
        <v>42.31737031571064</v>
      </c>
      <c r="AL16" s="280">
        <f>Z16*GBDNZ!$G50/($T16+$U16+$X16+V16+W16)</f>
        <v>3.5952660235301575</v>
      </c>
      <c r="AM16" s="284">
        <f t="shared" si="17"/>
        <v>3.5952660235301575</v>
      </c>
      <c r="AN16" s="284">
        <f t="shared" si="17"/>
        <v>3.5952660235301575</v>
      </c>
      <c r="AO16" s="284">
        <f t="shared" si="17"/>
        <v>3.3081333850126744</v>
      </c>
      <c r="AP16" s="284">
        <f t="shared" si="17"/>
        <v>3.1271708312296833</v>
      </c>
      <c r="AQ16" s="280">
        <f t="shared" si="9"/>
        <v>1.6500935664589544E-2</v>
      </c>
      <c r="AR16" s="280">
        <f t="shared" si="10"/>
        <v>0.38812868314172988</v>
      </c>
      <c r="AS16" s="280">
        <f t="shared" si="11"/>
        <v>2.8681949932832129E-2</v>
      </c>
      <c r="AT16" s="280">
        <f t="shared" si="18"/>
        <v>0.41681063307456201</v>
      </c>
      <c r="AU16" s="285"/>
      <c r="AV16" s="285"/>
      <c r="AW16" s="285"/>
      <c r="AX16" s="285"/>
    </row>
    <row r="17" spans="1:50" s="275" customFormat="1" ht="13" x14ac:dyDescent="0.3">
      <c r="A17" s="271">
        <v>1</v>
      </c>
      <c r="B17" s="271">
        <v>2</v>
      </c>
      <c r="C17" s="271" t="s">
        <v>35</v>
      </c>
      <c r="D17" s="17">
        <f>Scenario!AN33</f>
        <v>0.28952396631326538</v>
      </c>
      <c r="E17" s="17">
        <f>Scenario!AO33</f>
        <v>0.69041440749405425</v>
      </c>
      <c r="F17" s="17">
        <f>Scenario!AP33</f>
        <v>1.2604147491853572</v>
      </c>
      <c r="G17" s="17">
        <f>Scenario!AQ33</f>
        <v>2.3010025902127014</v>
      </c>
      <c r="H17" s="17">
        <f>Scenario!AR33</f>
        <v>5.4870944198279963</v>
      </c>
      <c r="I17" s="17">
        <f t="shared" si="12"/>
        <v>0.1</v>
      </c>
      <c r="J17" s="17">
        <f t="shared" si="1"/>
        <v>0.1</v>
      </c>
      <c r="K17" s="17">
        <f t="shared" si="1"/>
        <v>0.1</v>
      </c>
      <c r="L17" s="17">
        <f t="shared" si="1"/>
        <v>0.1</v>
      </c>
      <c r="M17" s="17">
        <f t="shared" si="1"/>
        <v>5.4870944198279963</v>
      </c>
      <c r="N17" s="19">
        <f>'Phy activity RRs'!$G$4</f>
        <v>0.93831941951583364</v>
      </c>
      <c r="O17" s="15">
        <f>IF(('user page'!$R$36=0),$N17^(I17^0.25),IF(('user page'!$R$36=1),$N17^(I17^0.5),IF(('user page'!$R$36=2),$N17^(I17^0.375),IF(('user page'!$R$36=4),$N17^(I17),IF(('user page'!$R$36=3),$N17^(LN(1+I17)),"")))))</f>
        <v>0.98006871247951299</v>
      </c>
      <c r="P17" s="15">
        <f>IF(('user page'!$R$36=0),$N17^(J17^0.25),IF(('user page'!$R$36=1),$N17^(J17^0.5),IF(('user page'!$R$36=2),$N17^(J17^0.375),IF(('user page'!$R$36=4),$N17^(J17),IF(('user page'!$R$36=3),$N17^(LN(1+J17)),"")))))</f>
        <v>0.98006871247951299</v>
      </c>
      <c r="Q17" s="15">
        <f>IF(('user page'!$R$36=0),$N17^(K17^0.25),IF(('user page'!$R$36=1),$N17^(K17^0.5),IF(('user page'!$R$36=2),$N17^(K17^0.375),IF(('user page'!$R$36=4),$N17^(K17),IF(('user page'!$R$36=3),$N17^(LN(1+K17)),"")))))</f>
        <v>0.98006871247951299</v>
      </c>
      <c r="R17" s="15">
        <f>IF(('user page'!$R$36=0),$N17^(L17^0.25),IF(('user page'!$R$36=1),$N17^(L17^0.5),IF(('user page'!$R$36=2),$N17^(L17^0.375),IF(('user page'!$R$36=4),$N17^(L17),IF(('user page'!$R$36=3),$N17^(LN(1+L17)),"")))))</f>
        <v>0.98006871247951299</v>
      </c>
      <c r="S17" s="15">
        <f>IF(('user page'!$R$36=0),$N17^(M17^0.25),IF(('user page'!$R$36=1),$N17^(M17^0.5),IF(('user page'!$R$36=2),$N17^(M17^0.375),IF(('user page'!$R$36=4),$N17^(M17),IF(('user page'!$R$36=3),$N17^(LN(1+M17)),"")))))</f>
        <v>0.86145535634812798</v>
      </c>
      <c r="T17" s="18">
        <f t="shared" si="13"/>
        <v>1</v>
      </c>
      <c r="U17" s="18">
        <f t="shared" si="13"/>
        <v>1</v>
      </c>
      <c r="V17" s="18">
        <f t="shared" si="13"/>
        <v>1</v>
      </c>
      <c r="W17" s="183">
        <f t="shared" si="13"/>
        <v>1</v>
      </c>
      <c r="X17" s="183">
        <f t="shared" si="13"/>
        <v>0.87897444881053233</v>
      </c>
      <c r="Y17" s="30">
        <f t="shared" si="8"/>
        <v>-8.1836567127280269E-4</v>
      </c>
      <c r="Z17" s="269">
        <f t="shared" si="14"/>
        <v>1.0008183656712728</v>
      </c>
      <c r="AA17" s="269">
        <f>'Inflammatory HD'!F17</f>
        <v>1</v>
      </c>
      <c r="AB17" s="280">
        <f>Z17*AA17*GBDNZ!E51/($T17+$U17+$X17+V17+W17)</f>
        <v>4.1691873092140952</v>
      </c>
      <c r="AC17" s="284">
        <f t="shared" si="15"/>
        <v>4.1691873092140952</v>
      </c>
      <c r="AD17" s="284">
        <f t="shared" si="15"/>
        <v>4.1691873092140952</v>
      </c>
      <c r="AE17" s="284">
        <f t="shared" si="15"/>
        <v>4.1691873092140952</v>
      </c>
      <c r="AF17" s="284">
        <f t="shared" si="15"/>
        <v>3.6646091171043258</v>
      </c>
      <c r="AG17" s="280">
        <f>Z17*AA17*GBDNZ!$F51/($T17+$U17+$X17+V17+W17)</f>
        <v>61.499468227572329</v>
      </c>
      <c r="AH17" s="284">
        <f t="shared" si="16"/>
        <v>61.499468227572329</v>
      </c>
      <c r="AI17" s="284">
        <f t="shared" si="16"/>
        <v>61.499468227572329</v>
      </c>
      <c r="AJ17" s="284">
        <f t="shared" si="16"/>
        <v>61.499468227572329</v>
      </c>
      <c r="AK17" s="284">
        <f t="shared" si="16"/>
        <v>54.056461187471236</v>
      </c>
      <c r="AL17" s="280">
        <f>Z17*GBDNZ!$G51/($T17+$U17+$X17+V17+W17)</f>
        <v>4.5833645136803414</v>
      </c>
      <c r="AM17" s="284">
        <f t="shared" si="17"/>
        <v>4.5833645136803414</v>
      </c>
      <c r="AN17" s="284">
        <f t="shared" si="17"/>
        <v>4.5833645136803414</v>
      </c>
      <c r="AO17" s="284">
        <f t="shared" si="17"/>
        <v>4.5833645136803414</v>
      </c>
      <c r="AP17" s="284">
        <f t="shared" si="17"/>
        <v>4.0286602971099317</v>
      </c>
      <c r="AQ17" s="280">
        <f t="shared" si="9"/>
        <v>1.66330574607092E-2</v>
      </c>
      <c r="AR17" s="280">
        <f t="shared" si="10"/>
        <v>0.24535337776057276</v>
      </c>
      <c r="AS17" s="280">
        <f t="shared" si="11"/>
        <v>1.8285425831297886E-2</v>
      </c>
      <c r="AT17" s="280">
        <f t="shared" si="18"/>
        <v>0.26363880359187064</v>
      </c>
      <c r="AU17" s="285"/>
      <c r="AV17" s="285"/>
      <c r="AW17" s="285"/>
      <c r="AX17" s="285"/>
    </row>
    <row r="18" spans="1:50" s="275" customFormat="1" ht="13" x14ac:dyDescent="0.3">
      <c r="A18" s="271">
        <v>1</v>
      </c>
      <c r="B18" s="271">
        <v>2</v>
      </c>
      <c r="C18" s="271" t="s">
        <v>34</v>
      </c>
      <c r="D18" s="17">
        <f>Scenario!AN34</f>
        <v>0.16944759244251412</v>
      </c>
      <c r="E18" s="17">
        <f>Scenario!AO34</f>
        <v>0.40407383411883097</v>
      </c>
      <c r="F18" s="17">
        <f>Scenario!AP34</f>
        <v>0.73767380106076064</v>
      </c>
      <c r="G18" s="17">
        <f>Scenario!AQ34</f>
        <v>1.346691101536166</v>
      </c>
      <c r="H18" s="17">
        <f>Scenario!AR34</f>
        <v>3.211391964486249</v>
      </c>
      <c r="I18" s="17">
        <f t="shared" si="12"/>
        <v>0.1</v>
      </c>
      <c r="J18" s="17">
        <f t="shared" si="1"/>
        <v>0.1</v>
      </c>
      <c r="K18" s="17">
        <f t="shared" si="1"/>
        <v>0.1</v>
      </c>
      <c r="L18" s="17">
        <f t="shared" si="1"/>
        <v>0.1</v>
      </c>
      <c r="M18" s="17">
        <f t="shared" si="1"/>
        <v>3.211391964486249</v>
      </c>
      <c r="N18" s="19">
        <f>'Phy activity RRs'!$G$4</f>
        <v>0.93831941951583364</v>
      </c>
      <c r="O18" s="15">
        <f>IF(('user page'!$R$36=0),$N18^(I18^0.25),IF(('user page'!$R$36=1),$N18^(I18^0.5),IF(('user page'!$R$36=2),$N18^(I18^0.375),IF(('user page'!$R$36=4),$N18^(I18),IF(('user page'!$R$36=3),$N18^(LN(1+I18)),"")))))</f>
        <v>0.98006871247951299</v>
      </c>
      <c r="P18" s="15">
        <f>IF(('user page'!$R$36=0),$N18^(J18^0.25),IF(('user page'!$R$36=1),$N18^(J18^0.5),IF(('user page'!$R$36=2),$N18^(J18^0.375),IF(('user page'!$R$36=4),$N18^(J18),IF(('user page'!$R$36=3),$N18^(LN(1+J18)),"")))))</f>
        <v>0.98006871247951299</v>
      </c>
      <c r="Q18" s="15">
        <f>IF(('user page'!$R$36=0),$N18^(K18^0.25),IF(('user page'!$R$36=1),$N18^(K18^0.5),IF(('user page'!$R$36=2),$N18^(K18^0.375),IF(('user page'!$R$36=4),$N18^(K18),IF(('user page'!$R$36=3),$N18^(LN(1+K18)),"")))))</f>
        <v>0.98006871247951299</v>
      </c>
      <c r="R18" s="15">
        <f>IF(('user page'!$R$36=0),$N18^(L18^0.25),IF(('user page'!$R$36=1),$N18^(L18^0.5),IF(('user page'!$R$36=2),$N18^(L18^0.375),IF(('user page'!$R$36=4),$N18^(L18),IF(('user page'!$R$36=3),$N18^(LN(1+L18)),"")))))</f>
        <v>0.98006871247951299</v>
      </c>
      <c r="S18" s="15">
        <f>IF(('user page'!$R$36=0),$N18^(M18^0.25),IF(('user page'!$R$36=1),$N18^(M18^0.5),IF(('user page'!$R$36=2),$N18^(M18^0.375),IF(('user page'!$R$36=4),$N18^(M18),IF(('user page'!$R$36=3),$N18^(LN(1+M18)),"")))))</f>
        <v>0.89217792929702522</v>
      </c>
      <c r="T18" s="18">
        <f t="shared" si="13"/>
        <v>1</v>
      </c>
      <c r="U18" s="18">
        <f t="shared" si="13"/>
        <v>1</v>
      </c>
      <c r="V18" s="18">
        <f t="shared" si="13"/>
        <v>1</v>
      </c>
      <c r="W18" s="183">
        <f t="shared" si="13"/>
        <v>1</v>
      </c>
      <c r="X18" s="183">
        <f t="shared" si="13"/>
        <v>0.91032181513056409</v>
      </c>
      <c r="Y18" s="30">
        <f t="shared" si="8"/>
        <v>-7.3259072966491701E-4</v>
      </c>
      <c r="Z18" s="269">
        <f t="shared" si="14"/>
        <v>1.0007325907296649</v>
      </c>
      <c r="AA18" s="269">
        <f>'Inflammatory HD'!F18</f>
        <v>1</v>
      </c>
      <c r="AB18" s="280">
        <f>Z18*AA18*GBDNZ!E52/($T18+$U18+$X18+V18+W18)</f>
        <v>35.647690577810131</v>
      </c>
      <c r="AC18" s="284">
        <f t="shared" si="15"/>
        <v>35.647690577810131</v>
      </c>
      <c r="AD18" s="284">
        <f t="shared" si="15"/>
        <v>35.647690577810131</v>
      </c>
      <c r="AE18" s="284">
        <f t="shared" si="15"/>
        <v>35.647690577810131</v>
      </c>
      <c r="AF18" s="284">
        <f t="shared" si="15"/>
        <v>32.450870392004823</v>
      </c>
      <c r="AG18" s="280">
        <f>Z18*AA18*GBDNZ!$F52/($T18+$U18+$X18+V18+W18)</f>
        <v>203.564734765004</v>
      </c>
      <c r="AH18" s="284">
        <f t="shared" si="16"/>
        <v>203.564734765004</v>
      </c>
      <c r="AI18" s="284">
        <f t="shared" si="16"/>
        <v>203.564734765004</v>
      </c>
      <c r="AJ18" s="284">
        <f t="shared" si="16"/>
        <v>203.564734765004</v>
      </c>
      <c r="AK18" s="284">
        <f t="shared" si="16"/>
        <v>185.30941884785028</v>
      </c>
      <c r="AL18" s="280">
        <f>Z18*GBDNZ!$G52/($T18+$U18+$X18+V18+W18)</f>
        <v>4.9458140420357903</v>
      </c>
      <c r="AM18" s="284">
        <f t="shared" si="17"/>
        <v>4.9458140420357903</v>
      </c>
      <c r="AN18" s="284">
        <f t="shared" si="17"/>
        <v>4.9458140420357903</v>
      </c>
      <c r="AO18" s="284">
        <f t="shared" si="17"/>
        <v>4.9458140420357903</v>
      </c>
      <c r="AP18" s="284">
        <f t="shared" si="17"/>
        <v>4.5022824160442525</v>
      </c>
      <c r="AQ18" s="280">
        <f t="shared" si="9"/>
        <v>0.12814000324537744</v>
      </c>
      <c r="AR18" s="280">
        <f t="shared" si="10"/>
        <v>0.73173844786646214</v>
      </c>
      <c r="AS18" s="280">
        <f t="shared" si="11"/>
        <v>1.7778336187412869E-2</v>
      </c>
      <c r="AT18" s="280">
        <f t="shared" si="18"/>
        <v>0.74951678405387501</v>
      </c>
      <c r="AU18" s="285"/>
      <c r="AV18" s="285"/>
      <c r="AW18" s="285"/>
      <c r="AX18" s="285"/>
    </row>
    <row r="19" spans="1:50" s="275" customFormat="1" ht="13" x14ac:dyDescent="0.3">
      <c r="A19" s="271"/>
      <c r="B19" s="271"/>
      <c r="C19" s="271"/>
      <c r="D19" s="17"/>
      <c r="E19" s="16"/>
      <c r="F19" s="17"/>
      <c r="G19" s="16"/>
      <c r="H19" s="17"/>
      <c r="I19" s="17"/>
      <c r="J19" s="17"/>
      <c r="K19" s="17"/>
      <c r="L19" s="17"/>
      <c r="M19" s="17"/>
      <c r="N19" s="19"/>
      <c r="O19" s="15"/>
      <c r="P19" s="15"/>
      <c r="Q19" s="15"/>
      <c r="R19" s="15"/>
      <c r="S19" s="15"/>
      <c r="T19" s="18"/>
      <c r="U19" s="18"/>
      <c r="V19" s="18"/>
      <c r="W19" s="183"/>
      <c r="X19" s="184"/>
      <c r="Y19" s="282"/>
      <c r="Z19" s="284"/>
      <c r="AA19" s="286"/>
      <c r="AB19" s="280"/>
      <c r="AC19" s="284"/>
      <c r="AD19" s="284"/>
      <c r="AE19" s="284"/>
      <c r="AF19" s="284"/>
      <c r="AG19" s="280"/>
      <c r="AH19" s="284"/>
      <c r="AI19" s="284"/>
      <c r="AJ19" s="284"/>
      <c r="AK19" s="284"/>
      <c r="AL19" s="280"/>
      <c r="AM19" s="284"/>
      <c r="AN19" s="284"/>
      <c r="AO19" s="284"/>
      <c r="AP19" s="284"/>
      <c r="AQ19" s="287">
        <f>SUM(AQ3:AQ18)</f>
        <v>0.29652373491406714</v>
      </c>
      <c r="AR19" s="287">
        <f>SUM(AR3:AR18)</f>
        <v>3.6335009233316895</v>
      </c>
      <c r="AS19" s="287">
        <f>SUM(AS3:AS18)</f>
        <v>0.24398847278500946</v>
      </c>
      <c r="AT19" s="287">
        <f>SUM(AT3:AT18)</f>
        <v>3.8774893961166992</v>
      </c>
      <c r="AU19" s="285"/>
      <c r="AV19" s="285"/>
      <c r="AW19" s="285"/>
      <c r="AX19" s="285"/>
    </row>
    <row r="20" spans="1:50" s="275" customFormat="1" ht="13" x14ac:dyDescent="0.3">
      <c r="A20" s="271">
        <v>0</v>
      </c>
      <c r="B20" s="271">
        <v>1</v>
      </c>
      <c r="C20" s="271" t="s">
        <v>2</v>
      </c>
      <c r="D20" s="17"/>
      <c r="E20" s="17"/>
      <c r="F20" s="17"/>
      <c r="G20" s="17"/>
      <c r="H20" s="17"/>
      <c r="I20" s="17"/>
      <c r="J20" s="17"/>
      <c r="K20" s="17"/>
      <c r="L20" s="17"/>
      <c r="M20" s="17"/>
      <c r="N20" s="19"/>
      <c r="O20" s="15"/>
      <c r="P20" s="15"/>
      <c r="Q20" s="15"/>
      <c r="R20" s="15"/>
      <c r="S20" s="15"/>
      <c r="T20" s="18"/>
      <c r="U20" s="18"/>
      <c r="V20" s="18"/>
      <c r="W20" s="183"/>
      <c r="X20" s="183"/>
      <c r="Y20" s="282"/>
      <c r="Z20" s="284"/>
      <c r="AA20" s="284"/>
      <c r="AB20" s="280"/>
      <c r="AC20" s="284"/>
      <c r="AD20" s="284"/>
      <c r="AE20" s="284"/>
      <c r="AF20" s="284"/>
      <c r="AG20" s="280"/>
      <c r="AH20" s="284"/>
      <c r="AI20" s="284"/>
      <c r="AJ20" s="284"/>
      <c r="AK20" s="284"/>
      <c r="AL20" s="280"/>
      <c r="AM20" s="284"/>
      <c r="AN20" s="284"/>
      <c r="AO20" s="284"/>
      <c r="AP20" s="284"/>
      <c r="AQ20" s="32">
        <f>AQ19/GBDNZ!E53</f>
        <v>9.2681973496211629E-4</v>
      </c>
      <c r="AR20" s="32">
        <f>AR19/GBDNZ!F53</f>
        <v>1.1973242002198019E-3</v>
      </c>
      <c r="AS20" s="32">
        <f>AS19/GBDNZ!G53</f>
        <v>1.3823731104579118E-3</v>
      </c>
      <c r="AT20" s="32">
        <f>AT19/GBDNZ!H53</f>
        <v>1.2074952404504513E-3</v>
      </c>
      <c r="AU20" s="288"/>
      <c r="AV20" s="288"/>
      <c r="AW20" s="288"/>
      <c r="AX20" s="288"/>
    </row>
    <row r="21" spans="1:50" s="275" customFormat="1" ht="13" x14ac:dyDescent="0.3">
      <c r="A21" s="271">
        <v>0</v>
      </c>
      <c r="B21" s="271">
        <v>1</v>
      </c>
      <c r="C21" s="271" t="s">
        <v>40</v>
      </c>
      <c r="D21" s="17"/>
      <c r="E21" s="17"/>
      <c r="F21" s="17"/>
      <c r="G21" s="17"/>
      <c r="H21" s="17"/>
      <c r="I21" s="17"/>
      <c r="J21" s="17"/>
      <c r="K21" s="17"/>
      <c r="L21" s="17"/>
      <c r="M21" s="17"/>
      <c r="N21" s="19"/>
      <c r="O21" s="15"/>
      <c r="P21" s="15"/>
      <c r="Q21" s="15"/>
      <c r="R21" s="15"/>
      <c r="S21" s="15"/>
      <c r="T21" s="18"/>
      <c r="U21" s="18"/>
      <c r="V21" s="18"/>
      <c r="W21" s="183"/>
      <c r="X21" s="183"/>
      <c r="Y21" s="282"/>
      <c r="Z21" s="284"/>
      <c r="AA21" s="284"/>
      <c r="AB21" s="280"/>
      <c r="AC21" s="284"/>
      <c r="AD21" s="284"/>
      <c r="AE21" s="284"/>
      <c r="AF21" s="284"/>
      <c r="AG21" s="280"/>
      <c r="AH21" s="284"/>
      <c r="AI21" s="284"/>
      <c r="AJ21" s="284"/>
      <c r="AK21" s="284"/>
      <c r="AL21" s="280"/>
      <c r="AM21" s="284"/>
      <c r="AN21" s="284"/>
      <c r="AO21" s="284"/>
      <c r="AP21" s="284"/>
      <c r="AQ21" s="281"/>
      <c r="AR21" s="281"/>
      <c r="AS21" s="281"/>
      <c r="AT21" s="281"/>
      <c r="AU21" s="288"/>
      <c r="AV21" s="288"/>
      <c r="AW21" s="288"/>
      <c r="AX21" s="288"/>
    </row>
    <row r="22" spans="1:50" s="275" customFormat="1" ht="13" x14ac:dyDescent="0.3">
      <c r="A22" s="271">
        <v>0</v>
      </c>
      <c r="B22" s="271">
        <v>1</v>
      </c>
      <c r="C22" s="271" t="s">
        <v>39</v>
      </c>
      <c r="D22" s="17">
        <f>Baseline!AN21</f>
        <v>0.39368586167290764</v>
      </c>
      <c r="E22" s="17">
        <f>Baseline!AO21</f>
        <v>0.93738511466315355</v>
      </c>
      <c r="F22" s="17">
        <f>Baseline!AP21</f>
        <v>1.7094900770477317</v>
      </c>
      <c r="G22" s="17">
        <f>Baseline!AQ21</f>
        <v>3.117562118078649</v>
      </c>
      <c r="H22" s="17">
        <f>Baseline!AR21</f>
        <v>7.4230664802300845</v>
      </c>
      <c r="I22" s="17">
        <f t="shared" ref="I22:M27" si="19">IF(D22&gt;2.5,D22,0.1)</f>
        <v>0.1</v>
      </c>
      <c r="J22" s="17">
        <f t="shared" si="19"/>
        <v>0.1</v>
      </c>
      <c r="K22" s="17">
        <f t="shared" si="19"/>
        <v>0.1</v>
      </c>
      <c r="L22" s="17">
        <f t="shared" si="19"/>
        <v>3.117562118078649</v>
      </c>
      <c r="M22" s="17">
        <f t="shared" si="19"/>
        <v>7.4230664802300845</v>
      </c>
      <c r="N22" s="19">
        <f>'Phy activity RRs'!$G$4</f>
        <v>0.93831941951583364</v>
      </c>
      <c r="O22" s="15">
        <f>IF(('user page'!$R$36=0),$N22^(I22^0.25),IF(('user page'!$R$36=1),$N22^(I22^0.5),IF(('user page'!$R$36=2),$N22^(I22^0.375),IF(('user page'!$R$36=4),$N22^(I22),IF(('user page'!$R$36=3),$N22^(LN(1+I22)),"")))))</f>
        <v>0.98006871247951299</v>
      </c>
      <c r="P22" s="15">
        <f>IF(('user page'!$R$36=0),$N22^(J22^0.25),IF(('user page'!$R$36=1),$N22^(J22^0.5),IF(('user page'!$R$36=2),$N22^(J22^0.375),IF(('user page'!$R$36=4),$N22^(J22),IF(('user page'!$R$36=3),$N22^(LN(1+J22)),"")))))</f>
        <v>0.98006871247951299</v>
      </c>
      <c r="Q22" s="15">
        <f>IF(('user page'!$R$36=0),$N22^(K22^0.25),IF(('user page'!$R$36=1),$N22^(K22^0.5),IF(('user page'!$R$36=2),$N22^(K22^0.375),IF(('user page'!$R$36=4),$N22^(K22),IF(('user page'!$R$36=3),$N22^(LN(1+K22)),"")))))</f>
        <v>0.98006871247951299</v>
      </c>
      <c r="R22" s="15">
        <f>IF(('user page'!$R$36=0),$N22^(L22^0.25),IF(('user page'!$R$36=1),$N22^(L22^0.5),IF(('user page'!$R$36=2),$N22^(L22^0.375),IF(('user page'!$R$36=4),$N22^(L22),IF(('user page'!$R$36=3),$N22^(LN(1+L22)),"")))))</f>
        <v>0.89367722694460117</v>
      </c>
      <c r="S22" s="15">
        <f>IF(('user page'!$R$36=0),$N22^(M22^0.25),IF(('user page'!$R$36=1),$N22^(M22^0.5),IF(('user page'!$R$36=2),$N22^(M22^0.375),IF(('user page'!$R$36=4),$N22^(M22),IF(('user page'!$R$36=3),$N22^(LN(1+M22)),"")))))</f>
        <v>0.84075343666477897</v>
      </c>
      <c r="T22" s="18">
        <f t="shared" ref="T22:X27" si="20">O22/$O22</f>
        <v>1</v>
      </c>
      <c r="U22" s="18">
        <f t="shared" si="20"/>
        <v>1</v>
      </c>
      <c r="V22" s="18">
        <f t="shared" si="20"/>
        <v>1</v>
      </c>
      <c r="W22" s="183">
        <f t="shared" si="20"/>
        <v>0.91185160342855276</v>
      </c>
      <c r="X22" s="183">
        <f t="shared" si="20"/>
        <v>0.85785152199964121</v>
      </c>
      <c r="Y22" s="282"/>
      <c r="Z22" s="284"/>
      <c r="AA22" s="284"/>
      <c r="AB22" s="280">
        <f>GBDNZ!E39/($T22+$U22+$X22+V22+W22)</f>
        <v>1.497951296362619E-2</v>
      </c>
      <c r="AC22" s="284">
        <f t="shared" ref="AC22:AF27" si="21">$AB22*U22</f>
        <v>1.497951296362619E-2</v>
      </c>
      <c r="AD22" s="284">
        <f t="shared" si="21"/>
        <v>1.497951296362619E-2</v>
      </c>
      <c r="AE22" s="284">
        <f t="shared" si="21"/>
        <v>1.3659092914461334E-2</v>
      </c>
      <c r="AF22" s="284">
        <f t="shared" si="21"/>
        <v>1.2850197994660082E-2</v>
      </c>
      <c r="AG22" s="280">
        <f>GBDNZ!F39/($T22+$U22+$X22+V22+W22)</f>
        <v>0.97065926688767878</v>
      </c>
      <c r="AH22" s="284">
        <f t="shared" ref="AH22:AK27" si="22">$AG22*U22</f>
        <v>0.97065926688767878</v>
      </c>
      <c r="AI22" s="284">
        <f t="shared" si="22"/>
        <v>0.97065926688767878</v>
      </c>
      <c r="AJ22" s="284">
        <f t="shared" si="22"/>
        <v>0.88509720889431343</v>
      </c>
      <c r="AK22" s="284">
        <f t="shared" si="22"/>
        <v>0.83268152944265117</v>
      </c>
      <c r="AL22" s="280">
        <f>GBDNZ!G39/($T22+$U22+$X22+V22+W22)</f>
        <v>0.14205532488757838</v>
      </c>
      <c r="AM22" s="284">
        <f t="shared" ref="AM22:AP27" si="23">U22*$AL22</f>
        <v>0.14205532488757838</v>
      </c>
      <c r="AN22" s="284">
        <f t="shared" si="23"/>
        <v>0.14205532488757838</v>
      </c>
      <c r="AO22" s="284">
        <f t="shared" si="23"/>
        <v>0.12953337577430235</v>
      </c>
      <c r="AP22" s="284">
        <f t="shared" si="23"/>
        <v>0.12186237666296262</v>
      </c>
      <c r="AQ22" s="281"/>
      <c r="AR22" s="281"/>
      <c r="AS22" s="281"/>
      <c r="AT22" s="281"/>
      <c r="AU22" s="288"/>
      <c r="AV22" s="288"/>
      <c r="AW22" s="288"/>
      <c r="AX22" s="288"/>
    </row>
    <row r="23" spans="1:50" s="275" customFormat="1" ht="13" x14ac:dyDescent="0.3">
      <c r="A23" s="271">
        <v>0</v>
      </c>
      <c r="B23" s="271">
        <v>1</v>
      </c>
      <c r="C23" s="271" t="s">
        <v>38</v>
      </c>
      <c r="D23" s="17">
        <f>Baseline!AN22</f>
        <v>0.25162211131265011</v>
      </c>
      <c r="E23" s="17">
        <f>Baseline!AO22</f>
        <v>0.59912444064491777</v>
      </c>
      <c r="F23" s="17">
        <f>Baseline!AP22</f>
        <v>1.092610998594</v>
      </c>
      <c r="G23" s="17">
        <f>Baseline!AQ22</f>
        <v>1.9925723493495484</v>
      </c>
      <c r="H23" s="17">
        <f>Baseline!AR22</f>
        <v>4.7444113238730328</v>
      </c>
      <c r="I23" s="17">
        <f t="shared" si="19"/>
        <v>0.1</v>
      </c>
      <c r="J23" s="17">
        <f t="shared" si="19"/>
        <v>0.1</v>
      </c>
      <c r="K23" s="17">
        <f t="shared" si="19"/>
        <v>0.1</v>
      </c>
      <c r="L23" s="17">
        <f t="shared" si="19"/>
        <v>0.1</v>
      </c>
      <c r="M23" s="17">
        <f t="shared" si="19"/>
        <v>4.7444113238730328</v>
      </c>
      <c r="N23" s="19">
        <f>'Phy activity RRs'!$G$4</f>
        <v>0.93831941951583364</v>
      </c>
      <c r="O23" s="15">
        <f>IF(('user page'!$R$36=0),$N23^(I23^0.25),IF(('user page'!$R$36=1),$N23^(I23^0.5),IF(('user page'!$R$36=2),$N23^(I23^0.375),IF(('user page'!$R$36=4),$N23^(I23),IF(('user page'!$R$36=3),$N23^(LN(1+I23)),"")))))</f>
        <v>0.98006871247951299</v>
      </c>
      <c r="P23" s="15">
        <f>IF(('user page'!$R$36=0),$N23^(J23^0.25),IF(('user page'!$R$36=1),$N23^(J23^0.5),IF(('user page'!$R$36=2),$N23^(J23^0.375),IF(('user page'!$R$36=4),$N23^(J23),IF(('user page'!$R$36=3),$N23^(LN(1+J23)),"")))))</f>
        <v>0.98006871247951299</v>
      </c>
      <c r="Q23" s="15">
        <f>IF(('user page'!$R$36=0),$N23^(K23^0.25),IF(('user page'!$R$36=1),$N23^(K23^0.5),IF(('user page'!$R$36=2),$N23^(K23^0.375),IF(('user page'!$R$36=4),$N23^(K23),IF(('user page'!$R$36=3),$N23^(LN(1+K23)),"")))))</f>
        <v>0.98006871247951299</v>
      </c>
      <c r="R23" s="15">
        <f>IF(('user page'!$R$36=0),$N23^(L23^0.25),IF(('user page'!$R$36=1),$N23^(L23^0.5),IF(('user page'!$R$36=2),$N23^(L23^0.375),IF(('user page'!$R$36=4),$N23^(L23),IF(('user page'!$R$36=3),$N23^(LN(1+L23)),"")))))</f>
        <v>0.98006871247951299</v>
      </c>
      <c r="S23" s="15">
        <f>IF(('user page'!$R$36=0),$N23^(M23^0.25),IF(('user page'!$R$36=1),$N23^(M23^0.5),IF(('user page'!$R$36=2),$N23^(M23^0.375),IF(('user page'!$R$36=4),$N23^(M23),IF(('user page'!$R$36=3),$N23^(LN(1+M23)),"")))))</f>
        <v>0.87051291390911345</v>
      </c>
      <c r="T23" s="18">
        <f t="shared" si="20"/>
        <v>1</v>
      </c>
      <c r="U23" s="18">
        <f t="shared" si="20"/>
        <v>1</v>
      </c>
      <c r="V23" s="18">
        <f t="shared" si="20"/>
        <v>1</v>
      </c>
      <c r="W23" s="183">
        <f t="shared" si="20"/>
        <v>1</v>
      </c>
      <c r="X23" s="183">
        <f t="shared" si="20"/>
        <v>0.888216206501246</v>
      </c>
      <c r="Y23" s="282"/>
      <c r="Z23" s="284"/>
      <c r="AA23" s="284"/>
      <c r="AB23" s="280">
        <f>GBDNZ!E40/($T23+$U23+$X23+V23+W23)</f>
        <v>0.23828719837531659</v>
      </c>
      <c r="AC23" s="284">
        <f t="shared" si="21"/>
        <v>0.23828719837531659</v>
      </c>
      <c r="AD23" s="284">
        <f t="shared" si="21"/>
        <v>0.23828719837531659</v>
      </c>
      <c r="AE23" s="284">
        <f t="shared" si="21"/>
        <v>0.23828719837531659</v>
      </c>
      <c r="AF23" s="284">
        <f t="shared" si="21"/>
        <v>0.21165055139873357</v>
      </c>
      <c r="AG23" s="280">
        <f>GBDNZ!F40/($T23+$U23+$X23+V23+W23)</f>
        <v>11.106792257427568</v>
      </c>
      <c r="AH23" s="284">
        <f t="shared" si="22"/>
        <v>11.106792257427568</v>
      </c>
      <c r="AI23" s="284">
        <f t="shared" si="22"/>
        <v>11.106792257427568</v>
      </c>
      <c r="AJ23" s="284">
        <f t="shared" si="22"/>
        <v>11.106792257427568</v>
      </c>
      <c r="AK23" s="284">
        <f t="shared" si="22"/>
        <v>9.8652328852897249</v>
      </c>
      <c r="AL23" s="280">
        <f>GBDNZ!G40/($T23+$U23+$X23+V23+W23)</f>
        <v>0.52218704406018979</v>
      </c>
      <c r="AM23" s="284">
        <f t="shared" si="23"/>
        <v>0.52218704406018979</v>
      </c>
      <c r="AN23" s="284">
        <f t="shared" si="23"/>
        <v>0.52218704406018979</v>
      </c>
      <c r="AO23" s="284">
        <f t="shared" si="23"/>
        <v>0.52218704406018979</v>
      </c>
      <c r="AP23" s="284">
        <f t="shared" si="23"/>
        <v>0.46381499535924076</v>
      </c>
      <c r="AQ23" s="281"/>
      <c r="AR23" s="281"/>
      <c r="AS23" s="281"/>
      <c r="AT23" s="281"/>
      <c r="AU23" s="288"/>
      <c r="AV23" s="288"/>
      <c r="AW23" s="288"/>
      <c r="AX23" s="288"/>
    </row>
    <row r="24" spans="1:50" s="275" customFormat="1" ht="13" x14ac:dyDescent="0.3">
      <c r="A24" s="271">
        <v>0</v>
      </c>
      <c r="B24" s="271">
        <v>1</v>
      </c>
      <c r="C24" s="271" t="s">
        <v>37</v>
      </c>
      <c r="D24" s="17">
        <f>Baseline!AN23</f>
        <v>0.44656832716641398</v>
      </c>
      <c r="E24" s="17">
        <f>Baseline!AO23</f>
        <v>1.0633008276878868</v>
      </c>
      <c r="F24" s="17">
        <f>Baseline!AP23</f>
        <v>1.9391199896557647</v>
      </c>
      <c r="G24" s="17">
        <f>Baseline!AQ23</f>
        <v>3.5363334969455225</v>
      </c>
      <c r="H24" s="17">
        <f>Baseline!AR23</f>
        <v>8.4201814269764306</v>
      </c>
      <c r="I24" s="17">
        <f t="shared" si="19"/>
        <v>0.1</v>
      </c>
      <c r="J24" s="17">
        <f t="shared" si="19"/>
        <v>0.1</v>
      </c>
      <c r="K24" s="17">
        <f t="shared" si="19"/>
        <v>0.1</v>
      </c>
      <c r="L24" s="17">
        <f t="shared" si="19"/>
        <v>3.5363334969455225</v>
      </c>
      <c r="M24" s="17">
        <f t="shared" si="19"/>
        <v>8.4201814269764306</v>
      </c>
      <c r="N24" s="19">
        <f>'Phy activity RRs'!$G$4</f>
        <v>0.93831941951583364</v>
      </c>
      <c r="O24" s="15">
        <f>IF(('user page'!$R$36=0),$N24^(I24^0.25),IF(('user page'!$R$36=1),$N24^(I24^0.5),IF(('user page'!$R$36=2),$N24^(I24^0.375),IF(('user page'!$R$36=4),$N24^(I24),IF(('user page'!$R$36=3),$N24^(LN(1+I24)),"")))))</f>
        <v>0.98006871247951299</v>
      </c>
      <c r="P24" s="15">
        <f>IF(('user page'!$R$36=0),$N24^(J24^0.25),IF(('user page'!$R$36=1),$N24^(J24^0.5),IF(('user page'!$R$36=2),$N24^(J24^0.375),IF(('user page'!$R$36=4),$N24^(J24),IF(('user page'!$R$36=3),$N24^(LN(1+J24)),"")))))</f>
        <v>0.98006871247951299</v>
      </c>
      <c r="Q24" s="15">
        <f>IF(('user page'!$R$36=0),$N24^(K24^0.25),IF(('user page'!$R$36=1),$N24^(K24^0.5),IF(('user page'!$R$36=2),$N24^(K24^0.375),IF(('user page'!$R$36=4),$N24^(K24),IF(('user page'!$R$36=3),$N24^(LN(1+K24)),"")))))</f>
        <v>0.98006871247951299</v>
      </c>
      <c r="R24" s="15">
        <f>IF(('user page'!$R$36=0),$N24^(L24^0.25),IF(('user page'!$R$36=1),$N24^(L24^0.5),IF(('user page'!$R$36=2),$N24^(L24^0.375),IF(('user page'!$R$36=4),$N24^(L24),IF(('user page'!$R$36=3),$N24^(LN(1+L24)),"")))))</f>
        <v>0.88716644762093189</v>
      </c>
      <c r="S24" s="15">
        <f>IF(('user page'!$R$36=0),$N24^(M24^0.25),IF(('user page'!$R$36=1),$N24^(M24^0.5),IF(('user page'!$R$36=2),$N24^(M24^0.375),IF(('user page'!$R$36=4),$N24^(M24),IF(('user page'!$R$36=3),$N24^(LN(1+M24)),"")))))</f>
        <v>0.83132056087671058</v>
      </c>
      <c r="T24" s="18">
        <f t="shared" si="20"/>
        <v>1</v>
      </c>
      <c r="U24" s="18">
        <f t="shared" si="20"/>
        <v>1</v>
      </c>
      <c r="V24" s="18">
        <f t="shared" si="20"/>
        <v>1</v>
      </c>
      <c r="W24" s="183">
        <f t="shared" si="20"/>
        <v>0.90520841684299447</v>
      </c>
      <c r="X24" s="183">
        <f t="shared" si="20"/>
        <v>0.84822681337670824</v>
      </c>
      <c r="Y24" s="282"/>
      <c r="Z24" s="284"/>
      <c r="AA24" s="284"/>
      <c r="AB24" s="280">
        <f>GBDNZ!E41/($T24+$U24+$X24+V24+W24)</f>
        <v>1.4500622274980315</v>
      </c>
      <c r="AC24" s="284">
        <f t="shared" si="21"/>
        <v>1.4500622274980315</v>
      </c>
      <c r="AD24" s="284">
        <f t="shared" si="21"/>
        <v>1.4500622274980315</v>
      </c>
      <c r="AE24" s="284">
        <f t="shared" si="21"/>
        <v>1.3126085332773192</v>
      </c>
      <c r="AF24" s="284">
        <f t="shared" si="21"/>
        <v>1.2299816624285866</v>
      </c>
      <c r="AG24" s="280">
        <f>GBDNZ!F41/($T24+$U24+$X24+V24+W24)</f>
        <v>49.111622963506761</v>
      </c>
      <c r="AH24" s="284">
        <f t="shared" si="22"/>
        <v>49.111622963506761</v>
      </c>
      <c r="AI24" s="284">
        <f t="shared" si="22"/>
        <v>49.111622963506761</v>
      </c>
      <c r="AJ24" s="284">
        <f t="shared" si="22"/>
        <v>44.456254471386011</v>
      </c>
      <c r="AK24" s="284">
        <f t="shared" si="22"/>
        <v>41.657795446093708</v>
      </c>
      <c r="AL24" s="280">
        <f>GBDNZ!G41/($T24+$U24+$X24+V24+W24)</f>
        <v>4.9971912031716279</v>
      </c>
      <c r="AM24" s="284">
        <f t="shared" si="23"/>
        <v>4.9971912031716279</v>
      </c>
      <c r="AN24" s="284">
        <f t="shared" si="23"/>
        <v>4.9971912031716279</v>
      </c>
      <c r="AO24" s="284">
        <f t="shared" si="23"/>
        <v>4.523499537684728</v>
      </c>
      <c r="AP24" s="284">
        <f t="shared" si="23"/>
        <v>4.2387515701003888</v>
      </c>
      <c r="AQ24" s="281"/>
      <c r="AR24" s="281"/>
      <c r="AS24" s="281"/>
      <c r="AT24" s="281"/>
      <c r="AU24" s="288"/>
      <c r="AV24" s="288"/>
      <c r="AW24" s="288"/>
      <c r="AX24" s="288"/>
    </row>
    <row r="25" spans="1:50" s="275" customFormat="1" ht="13" x14ac:dyDescent="0.3">
      <c r="A25" s="271">
        <v>0</v>
      </c>
      <c r="B25" s="271">
        <v>1</v>
      </c>
      <c r="C25" s="271" t="s">
        <v>36</v>
      </c>
      <c r="D25" s="17">
        <f>Baseline!AN24</f>
        <v>0.42413880257562148</v>
      </c>
      <c r="E25" s="17">
        <f>Baseline!AO24</f>
        <v>1.009895042702271</v>
      </c>
      <c r="F25" s="17">
        <f>Baseline!AP24</f>
        <v>1.8417249509873066</v>
      </c>
      <c r="G25" s="17">
        <f>Baseline!AQ24</f>
        <v>3.3587161553076208</v>
      </c>
      <c r="H25" s="17">
        <f>Baseline!AR24</f>
        <v>7.99726592919881</v>
      </c>
      <c r="I25" s="17">
        <f t="shared" si="19"/>
        <v>0.1</v>
      </c>
      <c r="J25" s="17">
        <f t="shared" si="19"/>
        <v>0.1</v>
      </c>
      <c r="K25" s="17">
        <f t="shared" si="19"/>
        <v>0.1</v>
      </c>
      <c r="L25" s="17">
        <f t="shared" si="19"/>
        <v>3.3587161553076208</v>
      </c>
      <c r="M25" s="17">
        <f t="shared" si="19"/>
        <v>7.99726592919881</v>
      </c>
      <c r="N25" s="19">
        <f>'Phy activity RRs'!$G$4</f>
        <v>0.93831941951583364</v>
      </c>
      <c r="O25" s="15">
        <f>IF(('user page'!$R$36=0),$N25^(I25^0.25),IF(('user page'!$R$36=1),$N25^(I25^0.5),IF(('user page'!$R$36=2),$N25^(I25^0.375),IF(('user page'!$R$36=4),$N25^(I25),IF(('user page'!$R$36=3),$N25^(LN(1+I25)),"")))))</f>
        <v>0.98006871247951299</v>
      </c>
      <c r="P25" s="15">
        <f>IF(('user page'!$R$36=0),$N25^(J25^0.25),IF(('user page'!$R$36=1),$N25^(J25^0.5),IF(('user page'!$R$36=2),$N25^(J25^0.375),IF(('user page'!$R$36=4),$N25^(J25),IF(('user page'!$R$36=3),$N25^(LN(1+J25)),"")))))</f>
        <v>0.98006871247951299</v>
      </c>
      <c r="Q25" s="15">
        <f>IF(('user page'!$R$36=0),$N25^(K25^0.25),IF(('user page'!$R$36=1),$N25^(K25^0.5),IF(('user page'!$R$36=2),$N25^(K25^0.375),IF(('user page'!$R$36=4),$N25^(K25),IF(('user page'!$R$36=3),$N25^(LN(1+K25)),"")))))</f>
        <v>0.98006871247951299</v>
      </c>
      <c r="R25" s="15">
        <f>IF(('user page'!$R$36=0),$N25^(L25^0.25),IF(('user page'!$R$36=1),$N25^(L25^0.5),IF(('user page'!$R$36=2),$N25^(L25^0.375),IF(('user page'!$R$36=4),$N25^(L25),IF(('user page'!$R$36=3),$N25^(LN(1+L25)),"")))))</f>
        <v>0.88987229953605174</v>
      </c>
      <c r="S25" s="15">
        <f>IF(('user page'!$R$36=0),$N25^(M25^0.25),IF(('user page'!$R$36=1),$N25^(M25^0.5),IF(('user page'!$R$36=2),$N25^(M25^0.375),IF(('user page'!$R$36=4),$N25^(M25),IF(('user page'!$R$36=3),$N25^(LN(1+M25)),"")))))</f>
        <v>0.83523627439520742</v>
      </c>
      <c r="T25" s="18">
        <f t="shared" si="20"/>
        <v>1</v>
      </c>
      <c r="U25" s="18">
        <f t="shared" si="20"/>
        <v>1</v>
      </c>
      <c r="V25" s="18">
        <f t="shared" si="20"/>
        <v>1</v>
      </c>
      <c r="W25" s="183">
        <f t="shared" si="20"/>
        <v>0.90796929664730353</v>
      </c>
      <c r="X25" s="183">
        <f t="shared" si="20"/>
        <v>0.85222215928321143</v>
      </c>
      <c r="Y25" s="282"/>
      <c r="Z25" s="284"/>
      <c r="AA25" s="284"/>
      <c r="AB25" s="280">
        <f>GBDNZ!E42/($T25+$U25+$X25+V25+W25)</f>
        <v>2.1870510788026523</v>
      </c>
      <c r="AC25" s="284">
        <f t="shared" si="21"/>
        <v>2.1870510788026523</v>
      </c>
      <c r="AD25" s="284">
        <f t="shared" si="21"/>
        <v>2.1870510788026523</v>
      </c>
      <c r="AE25" s="284">
        <f t="shared" si="21"/>
        <v>1.9857752297521705</v>
      </c>
      <c r="AF25" s="284">
        <f t="shared" si="21"/>
        <v>1.8638533928398733</v>
      </c>
      <c r="AG25" s="280">
        <f>GBDNZ!F42/($T25+$U25+$X25+V25+W25)</f>
        <v>51.753373371794922</v>
      </c>
      <c r="AH25" s="284">
        <f t="shared" si="22"/>
        <v>51.753373371794922</v>
      </c>
      <c r="AI25" s="284">
        <f t="shared" si="22"/>
        <v>51.753373371794922</v>
      </c>
      <c r="AJ25" s="284">
        <f t="shared" si="22"/>
        <v>46.990474019513925</v>
      </c>
      <c r="AK25" s="284">
        <f t="shared" si="22"/>
        <v>44.105371605101325</v>
      </c>
      <c r="AL25" s="280">
        <f>GBDNZ!G42/($T25+$U25+$X25+V25+W25)</f>
        <v>5.5761793723507465</v>
      </c>
      <c r="AM25" s="284">
        <f t="shared" si="23"/>
        <v>5.5761793723507465</v>
      </c>
      <c r="AN25" s="284">
        <f t="shared" si="23"/>
        <v>5.5761793723507465</v>
      </c>
      <c r="AO25" s="284">
        <f t="shared" si="23"/>
        <v>5.0629996626925093</v>
      </c>
      <c r="AP25" s="284">
        <f t="shared" si="23"/>
        <v>4.7521436252552558</v>
      </c>
      <c r="AQ25" s="281"/>
      <c r="AR25" s="281"/>
      <c r="AS25" s="281"/>
      <c r="AT25" s="281"/>
      <c r="AU25" s="288"/>
      <c r="AV25" s="288"/>
      <c r="AW25" s="288"/>
      <c r="AX25" s="288"/>
    </row>
    <row r="26" spans="1:50" s="275" customFormat="1" ht="13" x14ac:dyDescent="0.3">
      <c r="A26" s="271">
        <v>0</v>
      </c>
      <c r="B26" s="271">
        <v>1</v>
      </c>
      <c r="C26" s="271" t="s">
        <v>35</v>
      </c>
      <c r="D26" s="17">
        <f>Baseline!AN25</f>
        <v>0.51496682448345821</v>
      </c>
      <c r="E26" s="17">
        <f>Baseline!AO25</f>
        <v>1.2261609643914881</v>
      </c>
      <c r="F26" s="17">
        <f>Baseline!AP25</f>
        <v>2.2361246927243523</v>
      </c>
      <c r="G26" s="17">
        <f>Baseline!AQ25</f>
        <v>4.0779749042924998</v>
      </c>
      <c r="H26" s="17">
        <f>Baseline!AR25</f>
        <v>9.7098558658164578</v>
      </c>
      <c r="I26" s="17">
        <f t="shared" si="19"/>
        <v>0.1</v>
      </c>
      <c r="J26" s="17">
        <f t="shared" si="19"/>
        <v>0.1</v>
      </c>
      <c r="K26" s="17">
        <f t="shared" si="19"/>
        <v>0.1</v>
      </c>
      <c r="L26" s="17">
        <f t="shared" si="19"/>
        <v>4.0779749042924998</v>
      </c>
      <c r="M26" s="17">
        <f t="shared" si="19"/>
        <v>9.7098558658164578</v>
      </c>
      <c r="N26" s="19">
        <f>'Phy activity RRs'!$G$4</f>
        <v>0.93831941951583364</v>
      </c>
      <c r="O26" s="15">
        <f>IF(('user page'!$R$36=0),$N26^(I26^0.25),IF(('user page'!$R$36=1),$N26^(I26^0.5),IF(('user page'!$R$36=2),$N26^(I26^0.375),IF(('user page'!$R$36=4),$N26^(I26),IF(('user page'!$R$36=3),$N26^(LN(1+I26)),"")))))</f>
        <v>0.98006871247951299</v>
      </c>
      <c r="P26" s="15">
        <f>IF(('user page'!$R$36=0),$N26^(J26^0.25),IF(('user page'!$R$36=1),$N26^(J26^0.5),IF(('user page'!$R$36=2),$N26^(J26^0.375),IF(('user page'!$R$36=4),$N26^(J26),IF(('user page'!$R$36=3),$N26^(LN(1+J26)),"")))))</f>
        <v>0.98006871247951299</v>
      </c>
      <c r="Q26" s="15">
        <f>IF(('user page'!$R$36=0),$N26^(K26^0.25),IF(('user page'!$R$36=1),$N26^(K26^0.5),IF(('user page'!$R$36=2),$N26^(K26^0.375),IF(('user page'!$R$36=4),$N26^(K26),IF(('user page'!$R$36=3),$N26^(LN(1+K26)),"")))))</f>
        <v>0.98006871247951299</v>
      </c>
      <c r="R26" s="15">
        <f>IF(('user page'!$R$36=0),$N26^(L26^0.25),IF(('user page'!$R$36=1),$N26^(L26^0.5),IF(('user page'!$R$36=2),$N26^(L26^0.375),IF(('user page'!$R$36=4),$N26^(L26),IF(('user page'!$R$36=3),$N26^(LN(1+L26)),"")))))</f>
        <v>0.87935659051498705</v>
      </c>
      <c r="S26" s="15">
        <f>IF(('user page'!$R$36=0),$N26^(M26^0.25),IF(('user page'!$R$36=1),$N26^(M26^0.5),IF(('user page'!$R$36=2),$N26^(M26^0.375),IF(('user page'!$R$36=4),$N26^(M26),IF(('user page'!$R$36=3),$N26^(LN(1+M26)),"")))))</f>
        <v>0.82005507662182286</v>
      </c>
      <c r="T26" s="18">
        <f t="shared" si="20"/>
        <v>1</v>
      </c>
      <c r="U26" s="18">
        <f t="shared" si="20"/>
        <v>1</v>
      </c>
      <c r="V26" s="18">
        <f t="shared" si="20"/>
        <v>1</v>
      </c>
      <c r="W26" s="183">
        <f t="shared" si="20"/>
        <v>0.89723973362058407</v>
      </c>
      <c r="X26" s="183">
        <f t="shared" si="20"/>
        <v>0.83673222722020624</v>
      </c>
      <c r="Y26" s="282"/>
      <c r="Z26" s="284"/>
      <c r="AA26" s="284"/>
      <c r="AB26" s="280">
        <f>GBDNZ!E43/($T26+$U26+$X26+V26+W26)</f>
        <v>4.2551875135784023</v>
      </c>
      <c r="AC26" s="284">
        <f t="shared" si="21"/>
        <v>4.2551875135784023</v>
      </c>
      <c r="AD26" s="284">
        <f t="shared" si="21"/>
        <v>4.2551875135784023</v>
      </c>
      <c r="AE26" s="284">
        <f t="shared" si="21"/>
        <v>3.817923311188721</v>
      </c>
      <c r="AF26" s="284">
        <f t="shared" si="21"/>
        <v>3.5604525254760682</v>
      </c>
      <c r="AG26" s="280">
        <f>GBDNZ!F43/($T26+$U26+$X26+V26+W26)</f>
        <v>63.692546308712807</v>
      </c>
      <c r="AH26" s="284">
        <f t="shared" si="22"/>
        <v>63.692546308712807</v>
      </c>
      <c r="AI26" s="284">
        <f t="shared" si="22"/>
        <v>63.692546308712807</v>
      </c>
      <c r="AJ26" s="284">
        <f t="shared" si="22"/>
        <v>57.147483283646196</v>
      </c>
      <c r="AK26" s="284">
        <f t="shared" si="22"/>
        <v>53.293606130215395</v>
      </c>
      <c r="AL26" s="280">
        <f>GBDNZ!G43/($T26+$U26+$X26+V26+W26)</f>
        <v>4.8804185377761709</v>
      </c>
      <c r="AM26" s="284">
        <f t="shared" si="23"/>
        <v>4.8804185377761709</v>
      </c>
      <c r="AN26" s="284">
        <f t="shared" si="23"/>
        <v>4.8804185377761709</v>
      </c>
      <c r="AO26" s="284">
        <f t="shared" si="23"/>
        <v>4.3789054287912519</v>
      </c>
      <c r="AP26" s="284">
        <f t="shared" si="23"/>
        <v>4.0836034728802373</v>
      </c>
      <c r="AQ26" s="281"/>
      <c r="AR26" s="281"/>
      <c r="AS26" s="281"/>
      <c r="AT26" s="281"/>
      <c r="AU26" s="288"/>
      <c r="AV26" s="288"/>
      <c r="AW26" s="288"/>
      <c r="AX26" s="288"/>
    </row>
    <row r="27" spans="1:50" s="275" customFormat="1" ht="13" x14ac:dyDescent="0.3">
      <c r="A27" s="271">
        <v>0</v>
      </c>
      <c r="B27" s="271">
        <v>1</v>
      </c>
      <c r="C27" s="271" t="s">
        <v>34</v>
      </c>
      <c r="D27" s="17">
        <f>Baseline!AN26</f>
        <v>0.25245260283815635</v>
      </c>
      <c r="E27" s="17">
        <f>Baseline!AO26</f>
        <v>0.60110188121277408</v>
      </c>
      <c r="F27" s="17">
        <f>Baseline!AP26</f>
        <v>1.096217216546284</v>
      </c>
      <c r="G27" s="17">
        <f>Baseline!AQ26</f>
        <v>1.9991489353318384</v>
      </c>
      <c r="H27" s="17">
        <f>Baseline!AR26</f>
        <v>4.7600704937982714</v>
      </c>
      <c r="I27" s="17">
        <f t="shared" si="19"/>
        <v>0.1</v>
      </c>
      <c r="J27" s="17">
        <f t="shared" si="19"/>
        <v>0.1</v>
      </c>
      <c r="K27" s="17">
        <f t="shared" si="19"/>
        <v>0.1</v>
      </c>
      <c r="L27" s="17">
        <f t="shared" si="19"/>
        <v>0.1</v>
      </c>
      <c r="M27" s="17">
        <f t="shared" si="19"/>
        <v>4.7600704937982714</v>
      </c>
      <c r="N27" s="19">
        <f>'Phy activity RRs'!$G$4</f>
        <v>0.93831941951583364</v>
      </c>
      <c r="O27" s="15">
        <f>IF(('user page'!$R$36=0),$N27^(I27^0.25),IF(('user page'!$R$36=1),$N27^(I27^0.5),IF(('user page'!$R$36=2),$N27^(I27^0.375),IF(('user page'!$R$36=4),$N27^(I27),IF(('user page'!$R$36=3),$N27^(LN(1+I27)),"")))))</f>
        <v>0.98006871247951299</v>
      </c>
      <c r="P27" s="15">
        <f>IF(('user page'!$R$36=0),$N27^(J27^0.25),IF(('user page'!$R$36=1),$N27^(J27^0.5),IF(('user page'!$R$36=2),$N27^(J27^0.375),IF(('user page'!$R$36=4),$N27^(J27),IF(('user page'!$R$36=3),$N27^(LN(1+J27)),"")))))</f>
        <v>0.98006871247951299</v>
      </c>
      <c r="Q27" s="15">
        <f>IF(('user page'!$R$36=0),$N27^(K27^0.25),IF(('user page'!$R$36=1),$N27^(K27^0.5),IF(('user page'!$R$36=2),$N27^(K27^0.375),IF(('user page'!$R$36=4),$N27^(K27),IF(('user page'!$R$36=3),$N27^(LN(1+K27)),"")))))</f>
        <v>0.98006871247951299</v>
      </c>
      <c r="R27" s="15">
        <f>IF(('user page'!$R$36=0),$N27^(L27^0.25),IF(('user page'!$R$36=1),$N27^(L27^0.5),IF(('user page'!$R$36=2),$N27^(L27^0.375),IF(('user page'!$R$36=4),$N27^(L27),IF(('user page'!$R$36=3),$N27^(LN(1+L27)),"")))))</f>
        <v>0.98006871247951299</v>
      </c>
      <c r="S27" s="15">
        <f>IF(('user page'!$R$36=0),$N27^(M27^0.25),IF(('user page'!$R$36=1),$N27^(M27^0.5),IF(('user page'!$R$36=2),$N27^(M27^0.375),IF(('user page'!$R$36=4),$N27^(M27),IF(('user page'!$R$36=3),$N27^(LN(1+M27)),"")))))</f>
        <v>0.87031388553843358</v>
      </c>
      <c r="T27" s="18">
        <f t="shared" si="20"/>
        <v>1</v>
      </c>
      <c r="U27" s="18">
        <f t="shared" si="20"/>
        <v>1</v>
      </c>
      <c r="V27" s="18">
        <f t="shared" si="20"/>
        <v>1</v>
      </c>
      <c r="W27" s="183">
        <f t="shared" si="20"/>
        <v>1</v>
      </c>
      <c r="X27" s="183">
        <f t="shared" si="20"/>
        <v>0.88801313056570641</v>
      </c>
      <c r="Y27" s="282"/>
      <c r="Z27" s="284"/>
      <c r="AA27" s="284"/>
      <c r="AB27" s="280">
        <f>GBDNZ!E44/($T27+$U27+$X27+V27+W27)</f>
        <v>14.434682257253716</v>
      </c>
      <c r="AC27" s="284">
        <f t="shared" si="21"/>
        <v>14.434682257253716</v>
      </c>
      <c r="AD27" s="284">
        <f t="shared" si="21"/>
        <v>14.434682257253716</v>
      </c>
      <c r="AE27" s="284">
        <f t="shared" si="21"/>
        <v>14.434682257253716</v>
      </c>
      <c r="AF27" s="284">
        <f t="shared" si="21"/>
        <v>12.81818737998513</v>
      </c>
      <c r="AG27" s="280">
        <f>GBDNZ!F44/($T27+$U27+$X27+V27+W27)</f>
        <v>94.255642375223928</v>
      </c>
      <c r="AH27" s="284">
        <f t="shared" si="22"/>
        <v>94.255642375223928</v>
      </c>
      <c r="AI27" s="284">
        <f t="shared" si="22"/>
        <v>94.255642375223928</v>
      </c>
      <c r="AJ27" s="284">
        <f t="shared" si="22"/>
        <v>94.255642375223928</v>
      </c>
      <c r="AK27" s="284">
        <f t="shared" si="22"/>
        <v>83.700248059104254</v>
      </c>
      <c r="AL27" s="280">
        <f>GBDNZ!G44/($T27+$U27+$X27+V27+W27)</f>
        <v>3.8150969745537027</v>
      </c>
      <c r="AM27" s="284">
        <f t="shared" si="23"/>
        <v>3.8150969745537027</v>
      </c>
      <c r="AN27" s="284">
        <f t="shared" si="23"/>
        <v>3.8150969745537027</v>
      </c>
      <c r="AO27" s="284">
        <f t="shared" si="23"/>
        <v>3.8150969745537027</v>
      </c>
      <c r="AP27" s="284">
        <f t="shared" si="23"/>
        <v>3.3878562077851888</v>
      </c>
      <c r="AQ27" s="281"/>
      <c r="AR27" s="281"/>
      <c r="AS27" s="281"/>
      <c r="AT27" s="281"/>
      <c r="AU27" s="288"/>
      <c r="AV27" s="288"/>
      <c r="AW27" s="288"/>
      <c r="AX27" s="288"/>
    </row>
    <row r="28" spans="1:50" s="275" customFormat="1" ht="13" x14ac:dyDescent="0.3">
      <c r="A28" s="271">
        <v>0</v>
      </c>
      <c r="B28" s="271">
        <v>2</v>
      </c>
      <c r="C28" s="271" t="s">
        <v>2</v>
      </c>
      <c r="D28" s="17"/>
      <c r="E28" s="17"/>
      <c r="F28" s="17"/>
      <c r="G28" s="17"/>
      <c r="H28" s="17"/>
      <c r="I28" s="17"/>
      <c r="J28" s="17"/>
      <c r="K28" s="17"/>
      <c r="L28" s="17"/>
      <c r="M28" s="17"/>
      <c r="N28" s="19"/>
      <c r="O28" s="15"/>
      <c r="P28" s="15"/>
      <c r="Q28" s="15"/>
      <c r="R28" s="15"/>
      <c r="S28" s="15"/>
      <c r="T28" s="18"/>
      <c r="U28" s="18"/>
      <c r="V28" s="18"/>
      <c r="W28" s="183"/>
      <c r="X28" s="183"/>
      <c r="Y28" s="282"/>
      <c r="Z28" s="284"/>
      <c r="AA28" s="284"/>
      <c r="AB28" s="280"/>
      <c r="AC28" s="284"/>
      <c r="AD28" s="284"/>
      <c r="AE28" s="284"/>
      <c r="AF28" s="284"/>
      <c r="AG28" s="280"/>
      <c r="AH28" s="284"/>
      <c r="AI28" s="284"/>
      <c r="AJ28" s="284"/>
      <c r="AK28" s="284"/>
      <c r="AL28" s="280"/>
      <c r="AM28" s="284"/>
      <c r="AN28" s="284"/>
      <c r="AO28" s="284"/>
      <c r="AP28" s="284"/>
      <c r="AQ28" s="281"/>
      <c r="AR28" s="281"/>
      <c r="AS28" s="281"/>
      <c r="AT28" s="281"/>
      <c r="AU28" s="288"/>
      <c r="AV28" s="288"/>
      <c r="AW28" s="288"/>
      <c r="AX28" s="288"/>
    </row>
    <row r="29" spans="1:50" s="275" customFormat="1" ht="13" x14ac:dyDescent="0.3">
      <c r="A29" s="271">
        <v>0</v>
      </c>
      <c r="B29" s="271">
        <v>2</v>
      </c>
      <c r="C29" s="271" t="s">
        <v>40</v>
      </c>
      <c r="D29" s="17"/>
      <c r="E29" s="17"/>
      <c r="F29" s="17"/>
      <c r="G29" s="17"/>
      <c r="H29" s="17"/>
      <c r="I29" s="17"/>
      <c r="J29" s="17"/>
      <c r="K29" s="17"/>
      <c r="L29" s="17"/>
      <c r="M29" s="17"/>
      <c r="N29" s="19"/>
      <c r="O29" s="15"/>
      <c r="P29" s="15"/>
      <c r="Q29" s="15"/>
      <c r="R29" s="15"/>
      <c r="S29" s="15"/>
      <c r="T29" s="18"/>
      <c r="U29" s="18"/>
      <c r="V29" s="18"/>
      <c r="W29" s="183"/>
      <c r="X29" s="183"/>
      <c r="Y29" s="282"/>
      <c r="Z29" s="284"/>
      <c r="AA29" s="284"/>
      <c r="AB29" s="280"/>
      <c r="AC29" s="284"/>
      <c r="AD29" s="284"/>
      <c r="AE29" s="284"/>
      <c r="AF29" s="284"/>
      <c r="AG29" s="280"/>
      <c r="AH29" s="284"/>
      <c r="AI29" s="284"/>
      <c r="AJ29" s="284"/>
      <c r="AK29" s="284"/>
      <c r="AL29" s="280"/>
      <c r="AM29" s="284"/>
      <c r="AN29" s="284"/>
      <c r="AO29" s="284"/>
      <c r="AP29" s="284"/>
      <c r="AQ29" s="281"/>
      <c r="AR29" s="281"/>
      <c r="AS29" s="281"/>
      <c r="AT29" s="281"/>
      <c r="AU29" s="288"/>
      <c r="AV29" s="288"/>
      <c r="AW29" s="288"/>
      <c r="AX29" s="288"/>
    </row>
    <row r="30" spans="1:50" s="275" customFormat="1" ht="13" x14ac:dyDescent="0.3">
      <c r="A30" s="271">
        <v>0</v>
      </c>
      <c r="B30" s="271">
        <v>2</v>
      </c>
      <c r="C30" s="271" t="s">
        <v>39</v>
      </c>
      <c r="D30" s="17">
        <f>Baseline!AN29</f>
        <v>0.38786520725769708</v>
      </c>
      <c r="E30" s="17">
        <f>Baseline!AO29</f>
        <v>0.9235258544315782</v>
      </c>
      <c r="F30" s="17">
        <f>Baseline!AP29</f>
        <v>1.6842152273936337</v>
      </c>
      <c r="G30" s="17">
        <f>Baseline!AQ29</f>
        <v>3.0714688912856469</v>
      </c>
      <c r="H30" s="17">
        <f>Baseline!AR29</f>
        <v>7.3133162735578114</v>
      </c>
      <c r="I30" s="17">
        <f t="shared" ref="I30:M35" si="24">IF(D30&gt;2.5,D30,0.1)</f>
        <v>0.1</v>
      </c>
      <c r="J30" s="17">
        <f t="shared" si="24"/>
        <v>0.1</v>
      </c>
      <c r="K30" s="17">
        <f t="shared" si="24"/>
        <v>0.1</v>
      </c>
      <c r="L30" s="17">
        <f t="shared" si="24"/>
        <v>3.0714688912856469</v>
      </c>
      <c r="M30" s="17">
        <f t="shared" si="24"/>
        <v>7.3133162735578114</v>
      </c>
      <c r="N30" s="19">
        <f>'Phy activity RRs'!$G$4</f>
        <v>0.93831941951583364</v>
      </c>
      <c r="O30" s="15">
        <f>IF(('user page'!$R$36=0),$N30^(I30^0.25),IF(('user page'!$R$36=1),$N30^(I30^0.5),IF(('user page'!$R$36=2),$N30^(I30^0.375),IF(('user page'!$R$36=4),$N30^(I30),IF(('user page'!$R$36=3),$N30^(LN(1+I30)),"")))))</f>
        <v>0.98006871247951299</v>
      </c>
      <c r="P30" s="15">
        <f>IF(('user page'!$R$36=0),$N30^(J30^0.25),IF(('user page'!$R$36=1),$N30^(J30^0.5),IF(('user page'!$R$36=2),$N30^(J30^0.375),IF(('user page'!$R$36=4),$N30^(J30),IF(('user page'!$R$36=3),$N30^(LN(1+J30)),"")))))</f>
        <v>0.98006871247951299</v>
      </c>
      <c r="Q30" s="15">
        <f>IF(('user page'!$R$36=0),$N30^(K30^0.25),IF(('user page'!$R$36=1),$N30^(K30^0.5),IF(('user page'!$R$36=2),$N30^(K30^0.375),IF(('user page'!$R$36=4),$N30^(K30),IF(('user page'!$R$36=3),$N30^(LN(1+K30)),"")))))</f>
        <v>0.98006871247951299</v>
      </c>
      <c r="R30" s="15">
        <f>IF(('user page'!$R$36=0),$N30^(L30^0.25),IF(('user page'!$R$36=1),$N30^(L30^0.5),IF(('user page'!$R$36=2),$N30^(L30^0.375),IF(('user page'!$R$36=4),$N30^(L30),IF(('user page'!$R$36=3),$N30^(LN(1+L30)),"")))))</f>
        <v>0.89442294623525309</v>
      </c>
      <c r="S30" s="15">
        <f>IF(('user page'!$R$36=0),$N30^(M30^0.25),IF(('user page'!$R$36=1),$N30^(M30^0.5),IF(('user page'!$R$36=2),$N30^(M30^0.375),IF(('user page'!$R$36=4),$N30^(M30),IF(('user page'!$R$36=3),$N30^(LN(1+M30)),"")))))</f>
        <v>0.8418362306448598</v>
      </c>
      <c r="T30" s="18">
        <f t="shared" ref="T30:X35" si="25">O30/$O30</f>
        <v>1</v>
      </c>
      <c r="U30" s="18">
        <f t="shared" si="25"/>
        <v>1</v>
      </c>
      <c r="V30" s="18">
        <f t="shared" si="25"/>
        <v>1</v>
      </c>
      <c r="W30" s="183">
        <f t="shared" si="25"/>
        <v>0.91261248813097862</v>
      </c>
      <c r="X30" s="183">
        <f t="shared" si="25"/>
        <v>0.85895633635224045</v>
      </c>
      <c r="Y30" s="282"/>
      <c r="Z30" s="284"/>
      <c r="AA30" s="284"/>
      <c r="AB30" s="280">
        <f>GBDNZ!E47/($T30+$U30+$X30+V30+W30)</f>
        <v>1.0860470697624799E-2</v>
      </c>
      <c r="AC30" s="284">
        <f t="shared" ref="AC30:AF35" si="26">$AB30*U30</f>
        <v>1.0860470697624799E-2</v>
      </c>
      <c r="AD30" s="284">
        <f t="shared" si="26"/>
        <v>1.0860470697624799E-2</v>
      </c>
      <c r="AE30" s="284">
        <f t="shared" si="26"/>
        <v>9.911401185632952E-3</v>
      </c>
      <c r="AF30" s="284">
        <f t="shared" si="26"/>
        <v>9.3286701214926587E-3</v>
      </c>
      <c r="AG30" s="280">
        <f>GBDNZ!F47/($T30+$U30+$X30+V30+W30)</f>
        <v>0.68426164431435477</v>
      </c>
      <c r="AH30" s="284">
        <f t="shared" ref="AH30:AK35" si="27">$AG30*U30</f>
        <v>0.68426164431435477</v>
      </c>
      <c r="AI30" s="284">
        <f t="shared" si="27"/>
        <v>0.68426164431435477</v>
      </c>
      <c r="AJ30" s="284">
        <f t="shared" si="27"/>
        <v>0.624465721750318</v>
      </c>
      <c r="AK30" s="284">
        <f t="shared" si="27"/>
        <v>0.58775087510661805</v>
      </c>
      <c r="AL30" s="280">
        <f>GBDNZ!G47/($T30+$U30+$X30+V30+W30)</f>
        <v>0.23122267260170798</v>
      </c>
      <c r="AM30" s="284">
        <f t="shared" ref="AM30:AP35" si="28">U30*$AL30</f>
        <v>0.23122267260170798</v>
      </c>
      <c r="AN30" s="284">
        <f t="shared" si="28"/>
        <v>0.23122267260170798</v>
      </c>
      <c r="AO30" s="284">
        <f t="shared" si="28"/>
        <v>0.21101669855533939</v>
      </c>
      <c r="AP30" s="284">
        <f t="shared" si="28"/>
        <v>0.19861017973953665</v>
      </c>
      <c r="AQ30" s="281"/>
      <c r="AR30" s="281"/>
      <c r="AS30" s="281"/>
      <c r="AT30" s="281"/>
      <c r="AU30" s="288"/>
      <c r="AV30" s="288"/>
      <c r="AW30" s="288"/>
      <c r="AX30" s="288"/>
    </row>
    <row r="31" spans="1:50" s="275" customFormat="1" ht="13" x14ac:dyDescent="0.3">
      <c r="A31" s="271">
        <v>0</v>
      </c>
      <c r="B31" s="271">
        <v>2</v>
      </c>
      <c r="C31" s="271" t="s">
        <v>38</v>
      </c>
      <c r="D31" s="17">
        <f>Baseline!AN30</f>
        <v>0.32214184162495779</v>
      </c>
      <c r="E31" s="17">
        <f>Baseline!AO30</f>
        <v>0.76703533590520923</v>
      </c>
      <c r="F31" s="17">
        <f>Baseline!AP30</f>
        <v>1.3988266668242526</v>
      </c>
      <c r="G31" s="17">
        <f>Baseline!AQ30</f>
        <v>2.5510116056249852</v>
      </c>
      <c r="H31" s="17">
        <f>Baseline!AR30</f>
        <v>6.0740822550356066</v>
      </c>
      <c r="I31" s="17">
        <f t="shared" si="24"/>
        <v>0.1</v>
      </c>
      <c r="J31" s="17">
        <f t="shared" si="24"/>
        <v>0.1</v>
      </c>
      <c r="K31" s="17">
        <f t="shared" si="24"/>
        <v>0.1</v>
      </c>
      <c r="L31" s="17">
        <f t="shared" si="24"/>
        <v>2.5510116056249852</v>
      </c>
      <c r="M31" s="17">
        <f t="shared" si="24"/>
        <v>6.0740822550356066</v>
      </c>
      <c r="N31" s="19">
        <f>'Phy activity RRs'!$G$4</f>
        <v>0.93831941951583364</v>
      </c>
      <c r="O31" s="15">
        <f>IF(('user page'!$R$36=0),$N31^(I31^0.25),IF(('user page'!$R$36=1),$N31^(I31^0.5),IF(('user page'!$R$36=2),$N31^(I31^0.375),IF(('user page'!$R$36=4),$N31^(I31),IF(('user page'!$R$36=3),$N31^(LN(1+I31)),"")))))</f>
        <v>0.98006871247951299</v>
      </c>
      <c r="P31" s="15">
        <f>IF(('user page'!$R$36=0),$N31^(J31^0.25),IF(('user page'!$R$36=1),$N31^(J31^0.5),IF(('user page'!$R$36=2),$N31^(J31^0.375),IF(('user page'!$R$36=4),$N31^(J31),IF(('user page'!$R$36=3),$N31^(LN(1+J31)),"")))))</f>
        <v>0.98006871247951299</v>
      </c>
      <c r="Q31" s="15">
        <f>IF(('user page'!$R$36=0),$N31^(K31^0.25),IF(('user page'!$R$36=1),$N31^(K31^0.5),IF(('user page'!$R$36=2),$N31^(K31^0.375),IF(('user page'!$R$36=4),$N31^(K31),IF(('user page'!$R$36=3),$N31^(LN(1+K31)),"")))))</f>
        <v>0.98006871247951299</v>
      </c>
      <c r="R31" s="15">
        <f>IF(('user page'!$R$36=0),$N31^(L31^0.25),IF(('user page'!$R$36=1),$N31^(L31^0.5),IF(('user page'!$R$36=2),$N31^(L31^0.375),IF(('user page'!$R$36=4),$N31^(L31),IF(('user page'!$R$36=3),$N31^(LN(1+L31)),"")))))</f>
        <v>0.90331424508347002</v>
      </c>
      <c r="S31" s="15">
        <f>IF(('user page'!$R$36=0),$N31^(M31^0.25),IF(('user page'!$R$36=1),$N31^(M31^0.5),IF(('user page'!$R$36=2),$N31^(M31^0.375),IF(('user page'!$R$36=4),$N31^(M31),IF(('user page'!$R$36=3),$N31^(LN(1+M31)),"")))))</f>
        <v>0.85478423788211289</v>
      </c>
      <c r="T31" s="18">
        <f t="shared" si="25"/>
        <v>1</v>
      </c>
      <c r="U31" s="18">
        <f t="shared" si="25"/>
        <v>1</v>
      </c>
      <c r="V31" s="18">
        <f t="shared" si="25"/>
        <v>1</v>
      </c>
      <c r="W31" s="183">
        <f t="shared" si="25"/>
        <v>0.92168460596822954</v>
      </c>
      <c r="X31" s="183">
        <f t="shared" si="25"/>
        <v>0.87216766232600351</v>
      </c>
      <c r="Y31" s="282"/>
      <c r="Z31" s="284"/>
      <c r="AA31" s="284"/>
      <c r="AB31" s="280">
        <f>GBDNZ!E48/($T31+$U31+$X31+V31+W31)</f>
        <v>0.16742013121851579</v>
      </c>
      <c r="AC31" s="284">
        <f t="shared" si="26"/>
        <v>0.16742013121851579</v>
      </c>
      <c r="AD31" s="284">
        <f t="shared" si="26"/>
        <v>0.16742013121851579</v>
      </c>
      <c r="AE31" s="284">
        <f t="shared" si="26"/>
        <v>0.15430855767328702</v>
      </c>
      <c r="AF31" s="284">
        <f t="shared" si="26"/>
        <v>0.14601842447116567</v>
      </c>
      <c r="AG31" s="280">
        <f>GBDNZ!F48/($T31+$U31+$X31+V31+W31)</f>
        <v>7.8200830325209907</v>
      </c>
      <c r="AH31" s="284">
        <f t="shared" si="27"/>
        <v>7.8200830325209907</v>
      </c>
      <c r="AI31" s="284">
        <f t="shared" si="27"/>
        <v>7.8200830325209907</v>
      </c>
      <c r="AJ31" s="284">
        <f t="shared" si="27"/>
        <v>7.2076501484679465</v>
      </c>
      <c r="AK31" s="284">
        <f t="shared" si="27"/>
        <v>6.8204235376690772</v>
      </c>
      <c r="AL31" s="280">
        <f>GBDNZ!G48/($T31+$U31+$X31+V31+W31)</f>
        <v>0.65290673794870746</v>
      </c>
      <c r="AM31" s="284">
        <f t="shared" si="28"/>
        <v>0.65290673794870746</v>
      </c>
      <c r="AN31" s="284">
        <f t="shared" si="28"/>
        <v>0.65290673794870746</v>
      </c>
      <c r="AO31" s="284">
        <f t="shared" si="28"/>
        <v>0.60177408950025657</v>
      </c>
      <c r="AP31" s="284">
        <f t="shared" si="28"/>
        <v>0.5694441433536207</v>
      </c>
      <c r="AQ31" s="281"/>
      <c r="AR31" s="281"/>
      <c r="AS31" s="281"/>
      <c r="AT31" s="281"/>
      <c r="AU31" s="288"/>
      <c r="AV31" s="288"/>
      <c r="AW31" s="288"/>
      <c r="AX31" s="288"/>
    </row>
    <row r="32" spans="1:50" s="275" customFormat="1" ht="13" x14ac:dyDescent="0.3">
      <c r="A32" s="271">
        <v>0</v>
      </c>
      <c r="B32" s="271">
        <v>2</v>
      </c>
      <c r="C32" s="271" t="s">
        <v>37</v>
      </c>
      <c r="D32" s="17">
        <f>Baseline!AN31</f>
        <v>0.46307739299727485</v>
      </c>
      <c r="E32" s="17">
        <f>Baseline!AO31</f>
        <v>1.1026097134606268</v>
      </c>
      <c r="F32" s="17">
        <f>Baseline!AP31</f>
        <v>2.0108068013163582</v>
      </c>
      <c r="G32" s="17">
        <f>Baseline!AQ31</f>
        <v>3.6670672703669323</v>
      </c>
      <c r="H32" s="17">
        <f>Baseline!AR31</f>
        <v>8.7314648768524989</v>
      </c>
      <c r="I32" s="17">
        <f t="shared" si="24"/>
        <v>0.1</v>
      </c>
      <c r="J32" s="17">
        <f t="shared" si="24"/>
        <v>0.1</v>
      </c>
      <c r="K32" s="17">
        <f t="shared" si="24"/>
        <v>0.1</v>
      </c>
      <c r="L32" s="17">
        <f t="shared" si="24"/>
        <v>3.6670672703669323</v>
      </c>
      <c r="M32" s="17">
        <f t="shared" si="24"/>
        <v>8.7314648768524989</v>
      </c>
      <c r="N32" s="19">
        <f>'Phy activity RRs'!$G$4</f>
        <v>0.93831941951583364</v>
      </c>
      <c r="O32" s="15">
        <f>IF(('user page'!$R$36=0),$N32^(I32^0.25),IF(('user page'!$R$36=1),$N32^(I32^0.5),IF(('user page'!$R$36=2),$N32^(I32^0.375),IF(('user page'!$R$36=4),$N32^(I32),IF(('user page'!$R$36=3),$N32^(LN(1+I32)),"")))))</f>
        <v>0.98006871247951299</v>
      </c>
      <c r="P32" s="15">
        <f>IF(('user page'!$R$36=0),$N32^(J32^0.25),IF(('user page'!$R$36=1),$N32^(J32^0.5),IF(('user page'!$R$36=2),$N32^(J32^0.375),IF(('user page'!$R$36=4),$N32^(J32),IF(('user page'!$R$36=3),$N32^(LN(1+J32)),"")))))</f>
        <v>0.98006871247951299</v>
      </c>
      <c r="Q32" s="15">
        <f>IF(('user page'!$R$36=0),$N32^(K32^0.25),IF(('user page'!$R$36=1),$N32^(K32^0.5),IF(('user page'!$R$36=2),$N32^(K32^0.375),IF(('user page'!$R$36=4),$N32^(K32),IF(('user page'!$R$36=3),$N32^(LN(1+K32)),"")))))</f>
        <v>0.98006871247951299</v>
      </c>
      <c r="R32" s="15">
        <f>IF(('user page'!$R$36=0),$N32^(L32^0.25),IF(('user page'!$R$36=1),$N32^(L32^0.5),IF(('user page'!$R$36=2),$N32^(L32^0.375),IF(('user page'!$R$36=4),$N32^(L32),IF(('user page'!$R$36=3),$N32^(LN(1+L32)),"")))))</f>
        <v>0.88522309925020337</v>
      </c>
      <c r="S32" s="15">
        <f>IF(('user page'!$R$36=0),$N32^(M32^0.25),IF(('user page'!$R$36=1),$N32^(M32^0.5),IF(('user page'!$R$36=2),$N32^(M32^0.375),IF(('user page'!$R$36=4),$N32^(M32),IF(('user page'!$R$36=3),$N32^(LN(1+M32)),"")))))</f>
        <v>0.82851228537111998</v>
      </c>
      <c r="T32" s="18">
        <f t="shared" si="25"/>
        <v>1</v>
      </c>
      <c r="U32" s="18">
        <f t="shared" si="25"/>
        <v>1</v>
      </c>
      <c r="V32" s="18">
        <f t="shared" si="25"/>
        <v>1</v>
      </c>
      <c r="W32" s="183">
        <f t="shared" si="25"/>
        <v>0.90322554732988458</v>
      </c>
      <c r="X32" s="183">
        <f t="shared" si="25"/>
        <v>0.84536142703202444</v>
      </c>
      <c r="Y32" s="282"/>
      <c r="Z32" s="284"/>
      <c r="AA32" s="284"/>
      <c r="AB32" s="280">
        <f>GBDNZ!E49/($T32+$U32+$X32+V32+W32)</f>
        <v>0.98101005902413185</v>
      </c>
      <c r="AC32" s="284">
        <f t="shared" si="26"/>
        <v>0.98101005902413185</v>
      </c>
      <c r="AD32" s="284">
        <f t="shared" si="26"/>
        <v>0.98101005902413185</v>
      </c>
      <c r="AE32" s="284">
        <f t="shared" si="26"/>
        <v>0.88607334749819389</v>
      </c>
      <c r="AF32" s="284">
        <f t="shared" si="26"/>
        <v>0.82930806342941066</v>
      </c>
      <c r="AG32" s="280">
        <f>GBDNZ!F49/($T32+$U32+$X32+V32+W32)</f>
        <v>33.13992957076379</v>
      </c>
      <c r="AH32" s="284">
        <f t="shared" si="27"/>
        <v>33.13992957076379</v>
      </c>
      <c r="AI32" s="284">
        <f t="shared" si="27"/>
        <v>33.13992957076379</v>
      </c>
      <c r="AJ32" s="284">
        <f t="shared" si="27"/>
        <v>29.932831025026953</v>
      </c>
      <c r="AK32" s="284">
        <f t="shared" si="27"/>
        <v>28.015218153681662</v>
      </c>
      <c r="AL32" s="280">
        <f>GBDNZ!G49/($T32+$U32+$X32+V32+W32)</f>
        <v>2.4442376302815108</v>
      </c>
      <c r="AM32" s="284">
        <f t="shared" si="28"/>
        <v>2.4442376302815108</v>
      </c>
      <c r="AN32" s="284">
        <f t="shared" si="28"/>
        <v>2.4442376302815108</v>
      </c>
      <c r="AO32" s="284">
        <f t="shared" si="28"/>
        <v>2.2076978714153177</v>
      </c>
      <c r="AP32" s="284">
        <f t="shared" si="28"/>
        <v>2.0662642111401515</v>
      </c>
      <c r="AQ32" s="281"/>
      <c r="AR32" s="281"/>
      <c r="AS32" s="281"/>
      <c r="AT32" s="281"/>
      <c r="AU32" s="288"/>
      <c r="AV32" s="288"/>
      <c r="AW32" s="288"/>
      <c r="AX32" s="288"/>
    </row>
    <row r="33" spans="1:50" s="275" customFormat="1" ht="13" x14ac:dyDescent="0.3">
      <c r="A33" s="271">
        <v>0</v>
      </c>
      <c r="B33" s="271">
        <v>2</v>
      </c>
      <c r="C33" s="271" t="s">
        <v>36</v>
      </c>
      <c r="D33" s="17">
        <f>Baseline!AN32</f>
        <v>0.35634958562049185</v>
      </c>
      <c r="E33" s="17">
        <f>Baseline!AO32</f>
        <v>0.8484856320661196</v>
      </c>
      <c r="F33" s="17">
        <f>Baseline!AP32</f>
        <v>1.5473659074006401</v>
      </c>
      <c r="G33" s="17">
        <f>Baseline!AQ32</f>
        <v>2.8218995830906697</v>
      </c>
      <c r="H33" s="17">
        <f>Baseline!AR32</f>
        <v>6.7190796566149293</v>
      </c>
      <c r="I33" s="17">
        <f t="shared" si="24"/>
        <v>0.1</v>
      </c>
      <c r="J33" s="17">
        <f t="shared" si="24"/>
        <v>0.1</v>
      </c>
      <c r="K33" s="17">
        <f t="shared" si="24"/>
        <v>0.1</v>
      </c>
      <c r="L33" s="17">
        <f t="shared" si="24"/>
        <v>2.8218995830906697</v>
      </c>
      <c r="M33" s="17">
        <f t="shared" si="24"/>
        <v>6.7190796566149293</v>
      </c>
      <c r="N33" s="19">
        <f>'Phy activity RRs'!$G$4</f>
        <v>0.93831941951583364</v>
      </c>
      <c r="O33" s="15">
        <f>IF(('user page'!$R$36=0),$N33^(I33^0.25),IF(('user page'!$R$36=1),$N33^(I33^0.5),IF(('user page'!$R$36=2),$N33^(I33^0.375),IF(('user page'!$R$36=4),$N33^(I33),IF(('user page'!$R$36=3),$N33^(LN(1+I33)),"")))))</f>
        <v>0.98006871247951299</v>
      </c>
      <c r="P33" s="15">
        <f>IF(('user page'!$R$36=0),$N33^(J33^0.25),IF(('user page'!$R$36=1),$N33^(J33^0.5),IF(('user page'!$R$36=2),$N33^(J33^0.375),IF(('user page'!$R$36=4),$N33^(J33),IF(('user page'!$R$36=3),$N33^(LN(1+J33)),"")))))</f>
        <v>0.98006871247951299</v>
      </c>
      <c r="Q33" s="15">
        <f>IF(('user page'!$R$36=0),$N33^(K33^0.25),IF(('user page'!$R$36=1),$N33^(K33^0.5),IF(('user page'!$R$36=2),$N33^(K33^0.375),IF(('user page'!$R$36=4),$N33^(K33),IF(('user page'!$R$36=3),$N33^(LN(1+K33)),"")))))</f>
        <v>0.98006871247951299</v>
      </c>
      <c r="R33" s="15">
        <f>IF(('user page'!$R$36=0),$N33^(L33^0.25),IF(('user page'!$R$36=1),$N33^(L33^0.5),IF(('user page'!$R$36=2),$N33^(L33^0.375),IF(('user page'!$R$36=4),$N33^(L33),IF(('user page'!$R$36=3),$N33^(LN(1+L33)),"")))))</f>
        <v>0.89857286943998327</v>
      </c>
      <c r="S33" s="15">
        <f>IF(('user page'!$R$36=0),$N33^(M33^0.25),IF(('user page'!$R$36=1),$N33^(M33^0.5),IF(('user page'!$R$36=2),$N33^(M33^0.375),IF(('user page'!$R$36=4),$N33^(M33),IF(('user page'!$R$36=3),$N33^(LN(1+M33)),"")))))</f>
        <v>0.84787092492473326</v>
      </c>
      <c r="T33" s="18">
        <f t="shared" si="25"/>
        <v>1</v>
      </c>
      <c r="U33" s="18">
        <f t="shared" si="25"/>
        <v>1</v>
      </c>
      <c r="V33" s="18">
        <f t="shared" si="25"/>
        <v>1</v>
      </c>
      <c r="W33" s="183">
        <f t="shared" si="25"/>
        <v>0.91684680675771157</v>
      </c>
      <c r="X33" s="183">
        <f t="shared" si="25"/>
        <v>0.86511375593214523</v>
      </c>
      <c r="Y33" s="282"/>
      <c r="Z33" s="284"/>
      <c r="AA33" s="284"/>
      <c r="AB33" s="280">
        <f>GBDNZ!E50/($T33+$U33+$X33+V33+W33)</f>
        <v>2.0683828501999075</v>
      </c>
      <c r="AC33" s="284">
        <f t="shared" si="26"/>
        <v>2.0683828501999075</v>
      </c>
      <c r="AD33" s="284">
        <f t="shared" si="26"/>
        <v>2.0683828501999075</v>
      </c>
      <c r="AE33" s="284">
        <f t="shared" si="26"/>
        <v>1.8963902113581994</v>
      </c>
      <c r="AF33" s="284">
        <f t="shared" si="26"/>
        <v>1.7893864562420778</v>
      </c>
      <c r="AG33" s="280">
        <f>GBDNZ!F50/($T33+$U33+$X33+V33+W33)</f>
        <v>48.651708496971345</v>
      </c>
      <c r="AH33" s="284">
        <f t="shared" si="27"/>
        <v>48.651708496971345</v>
      </c>
      <c r="AI33" s="284">
        <f t="shared" si="27"/>
        <v>48.651708496971345</v>
      </c>
      <c r="AJ33" s="284">
        <f t="shared" si="27"/>
        <v>44.606163578755201</v>
      </c>
      <c r="AK33" s="284">
        <f t="shared" si="27"/>
        <v>42.089262270330742</v>
      </c>
      <c r="AL33" s="280">
        <f>GBDNZ!G50/($T33+$U33+$X33+V33+W33)</f>
        <v>3.5952660235301579</v>
      </c>
      <c r="AM33" s="284">
        <f t="shared" si="28"/>
        <v>3.5952660235301579</v>
      </c>
      <c r="AN33" s="284">
        <f t="shared" si="28"/>
        <v>3.5952660235301579</v>
      </c>
      <c r="AO33" s="284">
        <f t="shared" si="28"/>
        <v>3.296308173118121</v>
      </c>
      <c r="AP33" s="284">
        <f t="shared" si="28"/>
        <v>3.1103140931914033</v>
      </c>
      <c r="AQ33" s="281"/>
      <c r="AR33" s="281"/>
      <c r="AS33" s="281"/>
      <c r="AT33" s="281"/>
      <c r="AU33" s="288"/>
      <c r="AV33" s="288"/>
      <c r="AW33" s="288"/>
      <c r="AX33" s="288"/>
    </row>
    <row r="34" spans="1:50" s="275" customFormat="1" ht="13" x14ac:dyDescent="0.3">
      <c r="A34" s="271">
        <v>0</v>
      </c>
      <c r="B34" s="271">
        <v>2</v>
      </c>
      <c r="C34" s="271" t="s">
        <v>35</v>
      </c>
      <c r="D34" s="17">
        <f>Baseline!AN33</f>
        <v>0.30903559868571595</v>
      </c>
      <c r="E34" s="17">
        <f>Baseline!AO33</f>
        <v>0.73582873633823809</v>
      </c>
      <c r="F34" s="17">
        <f>Baseline!AP33</f>
        <v>1.3419158289374042</v>
      </c>
      <c r="G34" s="17">
        <f>Baseline!AQ33</f>
        <v>2.4472244736104138</v>
      </c>
      <c r="H34" s="17">
        <f>Baseline!AR33</f>
        <v>5.8269600641836821</v>
      </c>
      <c r="I34" s="17">
        <f t="shared" si="24"/>
        <v>0.1</v>
      </c>
      <c r="J34" s="17">
        <f t="shared" si="24"/>
        <v>0.1</v>
      </c>
      <c r="K34" s="17">
        <f t="shared" si="24"/>
        <v>0.1</v>
      </c>
      <c r="L34" s="17">
        <f t="shared" si="24"/>
        <v>0.1</v>
      </c>
      <c r="M34" s="17">
        <f t="shared" si="24"/>
        <v>5.8269600641836821</v>
      </c>
      <c r="N34" s="19">
        <f>'Phy activity RRs'!$G$4</f>
        <v>0.93831941951583364</v>
      </c>
      <c r="O34" s="15">
        <f>IF(('user page'!$R$36=0),$N34^(I34^0.25),IF(('user page'!$R$36=1),$N34^(I34^0.5),IF(('user page'!$R$36=2),$N34^(I34^0.375),IF(('user page'!$R$36=4),$N34^(I34),IF(('user page'!$R$36=3),$N34^(LN(1+I34)),"")))))</f>
        <v>0.98006871247951299</v>
      </c>
      <c r="P34" s="15">
        <f>IF(('user page'!$R$36=0),$N34^(J34^0.25),IF(('user page'!$R$36=1),$N34^(J34^0.5),IF(('user page'!$R$36=2),$N34^(J34^0.375),IF(('user page'!$R$36=4),$N34^(J34),IF(('user page'!$R$36=3),$N34^(LN(1+J34)),"")))))</f>
        <v>0.98006871247951299</v>
      </c>
      <c r="Q34" s="15">
        <f>IF(('user page'!$R$36=0),$N34^(K34^0.25),IF(('user page'!$R$36=1),$N34^(K34^0.5),IF(('user page'!$R$36=2),$N34^(K34^0.375),IF(('user page'!$R$36=4),$N34^(K34),IF(('user page'!$R$36=3),$N34^(LN(1+K34)),"")))))</f>
        <v>0.98006871247951299</v>
      </c>
      <c r="R34" s="15">
        <f>IF(('user page'!$R$36=0),$N34^(L34^0.25),IF(('user page'!$R$36=1),$N34^(L34^0.5),IF(('user page'!$R$36=2),$N34^(L34^0.375),IF(('user page'!$R$36=4),$N34^(L34),IF(('user page'!$R$36=3),$N34^(LN(1+L34)),"")))))</f>
        <v>0.98006871247951299</v>
      </c>
      <c r="S34" s="15">
        <f>IF(('user page'!$R$36=0),$N34^(M34^0.25),IF(('user page'!$R$36=1),$N34^(M34^0.5),IF(('user page'!$R$36=2),$N34^(M34^0.375),IF(('user page'!$R$36=4),$N34^(M34),IF(('user page'!$R$36=3),$N34^(LN(1+M34)),"")))))</f>
        <v>0.85754535231110929</v>
      </c>
      <c r="T34" s="18">
        <f t="shared" si="25"/>
        <v>1</v>
      </c>
      <c r="U34" s="18">
        <f t="shared" si="25"/>
        <v>1</v>
      </c>
      <c r="V34" s="18">
        <f t="shared" si="25"/>
        <v>1</v>
      </c>
      <c r="W34" s="183">
        <f t="shared" si="25"/>
        <v>1</v>
      </c>
      <c r="X34" s="183">
        <f t="shared" si="25"/>
        <v>0.87498492849707732</v>
      </c>
      <c r="Y34" s="282"/>
      <c r="Z34" s="284"/>
      <c r="AA34" s="284"/>
      <c r="AB34" s="280">
        <f>GBDNZ!E51/($T34+$U34+$X34+V34+W34)</f>
        <v>4.1691873092140952</v>
      </c>
      <c r="AC34" s="284">
        <f t="shared" si="26"/>
        <v>4.1691873092140952</v>
      </c>
      <c r="AD34" s="284">
        <f t="shared" si="26"/>
        <v>4.1691873092140952</v>
      </c>
      <c r="AE34" s="284">
        <f t="shared" si="26"/>
        <v>4.1691873092140952</v>
      </c>
      <c r="AF34" s="284">
        <f t="shared" si="26"/>
        <v>3.6479760596436175</v>
      </c>
      <c r="AG34" s="280">
        <f>GBDNZ!F51/($T34+$U34+$X34+V34+W34)</f>
        <v>61.499468227572336</v>
      </c>
      <c r="AH34" s="284">
        <f t="shared" si="27"/>
        <v>61.499468227572336</v>
      </c>
      <c r="AI34" s="284">
        <f t="shared" si="27"/>
        <v>61.499468227572336</v>
      </c>
      <c r="AJ34" s="284">
        <f t="shared" si="27"/>
        <v>61.499468227572336</v>
      </c>
      <c r="AK34" s="284">
        <f t="shared" si="27"/>
        <v>53.811107809710656</v>
      </c>
      <c r="AL34" s="280">
        <f>GBDNZ!G51/($T34+$U34+$X34+V34+W34)</f>
        <v>4.5833645136803414</v>
      </c>
      <c r="AM34" s="284">
        <f t="shared" si="28"/>
        <v>4.5833645136803414</v>
      </c>
      <c r="AN34" s="284">
        <f t="shared" si="28"/>
        <v>4.5833645136803414</v>
      </c>
      <c r="AO34" s="284">
        <f t="shared" si="28"/>
        <v>4.5833645136803414</v>
      </c>
      <c r="AP34" s="284">
        <f t="shared" si="28"/>
        <v>4.0103748712786347</v>
      </c>
      <c r="AQ34" s="281"/>
      <c r="AR34" s="281"/>
      <c r="AS34" s="281"/>
      <c r="AT34" s="281"/>
      <c r="AU34" s="288"/>
      <c r="AV34" s="288"/>
      <c r="AW34" s="288"/>
      <c r="AX34" s="288"/>
    </row>
    <row r="35" spans="1:50" s="275" customFormat="1" ht="13" x14ac:dyDescent="0.3">
      <c r="A35" s="271">
        <v>0</v>
      </c>
      <c r="B35" s="271">
        <v>2</v>
      </c>
      <c r="C35" s="271" t="s">
        <v>34</v>
      </c>
      <c r="D35" s="17">
        <f>Baseline!AN34</f>
        <v>0.18233554535978089</v>
      </c>
      <c r="E35" s="17">
        <f>Baseline!AO34</f>
        <v>0.43414976948360384</v>
      </c>
      <c r="F35" s="17">
        <f>Baseline!AP34</f>
        <v>0.79175006224787237</v>
      </c>
      <c r="G35" s="17">
        <f>Baseline!AQ34</f>
        <v>1.4438984081809676</v>
      </c>
      <c r="H35" s="17">
        <f>Baseline!AR34</f>
        <v>3.4379920812071276</v>
      </c>
      <c r="I35" s="17">
        <f t="shared" si="24"/>
        <v>0.1</v>
      </c>
      <c r="J35" s="17">
        <f t="shared" si="24"/>
        <v>0.1</v>
      </c>
      <c r="K35" s="17">
        <f t="shared" si="24"/>
        <v>0.1</v>
      </c>
      <c r="L35" s="17">
        <f t="shared" si="24"/>
        <v>0.1</v>
      </c>
      <c r="M35" s="17">
        <f t="shared" si="24"/>
        <v>3.4379920812071276</v>
      </c>
      <c r="N35" s="19">
        <f>'Phy activity RRs'!$G$4</f>
        <v>0.93831941951583364</v>
      </c>
      <c r="O35" s="15">
        <f>IF(('user page'!$R$36=0),$N35^(I35^0.25),IF(('user page'!$R$36=1),$N35^(I35^0.5),IF(('user page'!$R$36=2),$N35^(I35^0.375),IF(('user page'!$R$36=4),$N35^(I35),IF(('user page'!$R$36=3),$N35^(LN(1+I35)),"")))))</f>
        <v>0.98006871247951299</v>
      </c>
      <c r="P35" s="15">
        <f>IF(('user page'!$R$36=0),$N35^(J35^0.25),IF(('user page'!$R$36=1),$N35^(J35^0.5),IF(('user page'!$R$36=2),$N35^(J35^0.375),IF(('user page'!$R$36=4),$N35^(J35),IF(('user page'!$R$36=3),$N35^(LN(1+J35)),"")))))</f>
        <v>0.98006871247951299</v>
      </c>
      <c r="Q35" s="15">
        <f>IF(('user page'!$R$36=0),$N35^(K35^0.25),IF(('user page'!$R$36=1),$N35^(K35^0.5),IF(('user page'!$R$36=2),$N35^(K35^0.375),IF(('user page'!$R$36=4),$N35^(K35),IF(('user page'!$R$36=3),$N35^(LN(1+K35)),"")))))</f>
        <v>0.98006871247951299</v>
      </c>
      <c r="R35" s="15">
        <f>IF(('user page'!$R$36=0),$N35^(L35^0.25),IF(('user page'!$R$36=1),$N35^(L35^0.5),IF(('user page'!$R$36=2),$N35^(L35^0.375),IF(('user page'!$R$36=4),$N35^(L35),IF(('user page'!$R$36=3),$N35^(LN(1+L35)),"")))))</f>
        <v>0.98006871247951299</v>
      </c>
      <c r="S35" s="15">
        <f>IF(('user page'!$R$36=0),$N35^(M35^0.25),IF(('user page'!$R$36=1),$N35^(M35^0.5),IF(('user page'!$R$36=2),$N35^(M35^0.375),IF(('user page'!$R$36=4),$N35^(M35),IF(('user page'!$R$36=3),$N35^(LN(1+M35)),"")))))</f>
        <v>0.88865495190459975</v>
      </c>
      <c r="T35" s="18">
        <f t="shared" si="25"/>
        <v>1</v>
      </c>
      <c r="U35" s="18">
        <f t="shared" si="25"/>
        <v>1</v>
      </c>
      <c r="V35" s="18">
        <f t="shared" si="25"/>
        <v>1</v>
      </c>
      <c r="W35" s="183">
        <f t="shared" si="25"/>
        <v>1</v>
      </c>
      <c r="X35" s="183">
        <f t="shared" si="25"/>
        <v>0.90672719227650667</v>
      </c>
      <c r="Y35" s="282"/>
      <c r="Z35" s="284"/>
      <c r="AA35" s="284"/>
      <c r="AB35" s="280">
        <f>GBDNZ!E52/($T35+$U35+$X35+V35+W35)</f>
        <v>35.647690577810131</v>
      </c>
      <c r="AC35" s="284">
        <f t="shared" si="26"/>
        <v>35.647690577810131</v>
      </c>
      <c r="AD35" s="284">
        <f t="shared" si="26"/>
        <v>35.647690577810131</v>
      </c>
      <c r="AE35" s="284">
        <f t="shared" si="26"/>
        <v>35.647690577810131</v>
      </c>
      <c r="AF35" s="284">
        <f t="shared" si="26"/>
        <v>32.32273038875946</v>
      </c>
      <c r="AG35" s="280">
        <f>GBDNZ!F52/($T35+$U35+$X35+V35+W35)</f>
        <v>203.564734765004</v>
      </c>
      <c r="AH35" s="284">
        <f t="shared" si="27"/>
        <v>203.564734765004</v>
      </c>
      <c r="AI35" s="284">
        <f t="shared" si="27"/>
        <v>203.564734765004</v>
      </c>
      <c r="AJ35" s="284">
        <f t="shared" si="27"/>
        <v>203.564734765004</v>
      </c>
      <c r="AK35" s="284">
        <f t="shared" si="27"/>
        <v>184.57768039998388</v>
      </c>
      <c r="AL35" s="280">
        <f>GBDNZ!G52/($T35+$U35+$X35+V35+W35)</f>
        <v>4.9458140420357912</v>
      </c>
      <c r="AM35" s="284">
        <f t="shared" si="28"/>
        <v>4.9458140420357912</v>
      </c>
      <c r="AN35" s="284">
        <f t="shared" si="28"/>
        <v>4.9458140420357912</v>
      </c>
      <c r="AO35" s="284">
        <f t="shared" si="28"/>
        <v>4.9458140420357912</v>
      </c>
      <c r="AP35" s="284">
        <f t="shared" si="28"/>
        <v>4.4845040798568334</v>
      </c>
      <c r="AQ35" s="281"/>
      <c r="AR35" s="281"/>
      <c r="AS35" s="281"/>
      <c r="AT35" s="281"/>
      <c r="AU35" s="288"/>
      <c r="AV35" s="288"/>
      <c r="AW35" s="288"/>
      <c r="AX35" s="288"/>
    </row>
  </sheetData>
  <mergeCells count="9">
    <mergeCell ref="AG1:AK1"/>
    <mergeCell ref="AL1:AP1"/>
    <mergeCell ref="AQ1:AT1"/>
    <mergeCell ref="AU1:AX1"/>
    <mergeCell ref="D1:H1"/>
    <mergeCell ref="I1:M1"/>
    <mergeCell ref="O1:S1"/>
    <mergeCell ref="T1:X1"/>
    <mergeCell ref="AB1:AF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5"/>
  <sheetViews>
    <sheetView workbookViewId="0">
      <selection activeCell="L29" sqref="L29"/>
    </sheetView>
  </sheetViews>
  <sheetFormatPr defaultColWidth="9.1796875" defaultRowHeight="14.5" x14ac:dyDescent="0.35"/>
  <cols>
    <col min="1" max="2" width="11.1796875" style="10" customWidth="1"/>
    <col min="3" max="3" width="10.453125" style="10" customWidth="1"/>
    <col min="4" max="4" width="13" style="10" customWidth="1"/>
    <col min="5" max="5" width="16" style="333" customWidth="1"/>
    <col min="6" max="6" width="16" style="10" customWidth="1"/>
    <col min="7" max="7" width="8.81640625" style="12" customWidth="1"/>
    <col min="8" max="8" width="12.1796875" style="10" customWidth="1"/>
    <col min="9" max="9" width="11" style="10" customWidth="1"/>
    <col min="10" max="10" width="13" style="12" customWidth="1"/>
    <col min="11" max="11" width="12.453125" style="10" customWidth="1"/>
    <col min="12" max="12" width="9" style="10" bestFit="1" customWidth="1"/>
    <col min="13" max="14" width="6" style="10" customWidth="1"/>
    <col min="15" max="16384" width="9.1796875" style="10"/>
  </cols>
  <sheetData>
    <row r="1" spans="1:21" s="13" customFormat="1" ht="46.5" customHeight="1" x14ac:dyDescent="0.3">
      <c r="A1" s="20"/>
      <c r="B1" s="20"/>
      <c r="C1" s="20"/>
      <c r="D1" s="218" t="s">
        <v>133</v>
      </c>
      <c r="E1" s="331"/>
      <c r="F1" s="215" t="s">
        <v>53</v>
      </c>
      <c r="G1" s="216" t="s">
        <v>73</v>
      </c>
      <c r="H1" s="215" t="s">
        <v>137</v>
      </c>
      <c r="I1" s="215" t="s">
        <v>135</v>
      </c>
      <c r="J1" s="216" t="s">
        <v>136</v>
      </c>
      <c r="K1" s="216" t="s">
        <v>138</v>
      </c>
      <c r="L1" s="1078" t="s">
        <v>48</v>
      </c>
      <c r="M1" s="1078"/>
      <c r="N1" s="1078"/>
      <c r="O1" s="1078"/>
      <c r="U1" s="13">
        <f>'user page'!Y1</f>
        <v>1</v>
      </c>
    </row>
    <row r="2" spans="1:21" s="23" customFormat="1" ht="44.25" customHeight="1" x14ac:dyDescent="0.3">
      <c r="A2" s="29" t="s">
        <v>47</v>
      </c>
      <c r="B2" s="29" t="s">
        <v>46</v>
      </c>
      <c r="C2" s="29" t="s">
        <v>45</v>
      </c>
      <c r="D2" s="20"/>
      <c r="E2" s="332" t="s">
        <v>134</v>
      </c>
      <c r="F2" s="215"/>
      <c r="G2" s="216"/>
      <c r="H2" s="215"/>
      <c r="I2" s="215"/>
      <c r="J2" s="215"/>
      <c r="K2" s="215"/>
      <c r="L2" s="399" t="s">
        <v>43</v>
      </c>
      <c r="M2" s="398" t="s">
        <v>42</v>
      </c>
      <c r="N2" s="398" t="s">
        <v>41</v>
      </c>
      <c r="O2" s="398" t="s">
        <v>28</v>
      </c>
    </row>
    <row r="3" spans="1:21" s="13" customFormat="1" ht="13" x14ac:dyDescent="0.3">
      <c r="A3" s="20">
        <v>1</v>
      </c>
      <c r="B3" s="20">
        <v>1</v>
      </c>
      <c r="C3" s="20" t="s">
        <v>2</v>
      </c>
      <c r="D3" s="19">
        <f>'user page'!Q$42</f>
        <v>5.9</v>
      </c>
      <c r="E3" s="229"/>
      <c r="F3" s="229">
        <v>1</v>
      </c>
      <c r="G3" s="16"/>
      <c r="H3" s="17"/>
      <c r="I3" s="17"/>
      <c r="J3" s="17"/>
      <c r="K3" s="17"/>
      <c r="L3" s="23"/>
      <c r="M3" s="23"/>
      <c r="N3" s="23"/>
    </row>
    <row r="4" spans="1:21" s="13" customFormat="1" ht="13" x14ac:dyDescent="0.3">
      <c r="A4" s="20">
        <v>1</v>
      </c>
      <c r="B4" s="20">
        <v>1</v>
      </c>
      <c r="C4" s="20" t="s">
        <v>40</v>
      </c>
      <c r="D4" s="19">
        <f>'user page'!Q$42</f>
        <v>5.9</v>
      </c>
      <c r="E4" s="229"/>
      <c r="F4" s="229">
        <v>1</v>
      </c>
      <c r="G4" s="16"/>
      <c r="H4" s="17"/>
      <c r="I4" s="17"/>
      <c r="J4" s="17"/>
      <c r="K4" s="17"/>
      <c r="L4" s="23"/>
      <c r="M4" s="23"/>
      <c r="N4" s="23"/>
    </row>
    <row r="5" spans="1:21" s="13" customFormat="1" ht="13" x14ac:dyDescent="0.3">
      <c r="A5" s="20">
        <v>1</v>
      </c>
      <c r="B5" s="20">
        <v>1</v>
      </c>
      <c r="C5" s="20" t="s">
        <v>39</v>
      </c>
      <c r="D5" s="19">
        <f>'user page'!Q$42</f>
        <v>5.9</v>
      </c>
      <c r="E5" s="229"/>
      <c r="F5" s="229">
        <v>1</v>
      </c>
      <c r="G5" s="30"/>
      <c r="H5" s="17"/>
      <c r="I5" s="17"/>
      <c r="J5" s="17"/>
      <c r="K5" s="17"/>
      <c r="L5" s="23"/>
      <c r="M5" s="23"/>
      <c r="N5" s="23"/>
    </row>
    <row r="6" spans="1:21" s="13" customFormat="1" ht="13" x14ac:dyDescent="0.3">
      <c r="A6" s="20">
        <v>1</v>
      </c>
      <c r="B6" s="20">
        <v>1</v>
      </c>
      <c r="C6" s="20" t="s">
        <v>38</v>
      </c>
      <c r="D6" s="19">
        <f>'user page'!Q$42</f>
        <v>5.9</v>
      </c>
      <c r="E6" s="396">
        <v>8.6180000000000007E-3</v>
      </c>
      <c r="F6" s="229">
        <f>EXP(E6*(D6-D23))</f>
        <v>1</v>
      </c>
      <c r="G6" s="269">
        <f>1-F6</f>
        <v>0</v>
      </c>
      <c r="H6" s="244">
        <f>-$G6*GBDNZ!E166</f>
        <v>0</v>
      </c>
      <c r="I6" s="15">
        <f>-$G6*GBDNZ!F166</f>
        <v>0</v>
      </c>
      <c r="J6" s="17">
        <v>0</v>
      </c>
      <c r="K6" s="19">
        <f t="shared" ref="K6:K18" si="0">I6+J6</f>
        <v>0</v>
      </c>
      <c r="L6" s="23"/>
      <c r="M6" s="23"/>
      <c r="N6" s="23"/>
    </row>
    <row r="7" spans="1:21" s="13" customFormat="1" ht="13" x14ac:dyDescent="0.3">
      <c r="A7" s="20">
        <v>1</v>
      </c>
      <c r="B7" s="20">
        <v>1</v>
      </c>
      <c r="C7" s="20" t="s">
        <v>37</v>
      </c>
      <c r="D7" s="19">
        <f>'user page'!Q$42</f>
        <v>5.9</v>
      </c>
      <c r="E7" s="396">
        <v>8.6180000000000007E-3</v>
      </c>
      <c r="F7" s="229">
        <f>EXP(E7*(D7-D24))</f>
        <v>1</v>
      </c>
      <c r="G7" s="269">
        <f>1-F7</f>
        <v>0</v>
      </c>
      <c r="H7" s="244">
        <f>-$G7*GBDNZ!E167</f>
        <v>0</v>
      </c>
      <c r="I7" s="15">
        <f>-$G7*GBDNZ!F167</f>
        <v>0</v>
      </c>
      <c r="J7" s="17">
        <v>0</v>
      </c>
      <c r="K7" s="19">
        <f t="shared" si="0"/>
        <v>0</v>
      </c>
      <c r="L7" s="23"/>
      <c r="M7" s="23"/>
      <c r="N7" s="23"/>
    </row>
    <row r="8" spans="1:21" s="13" customFormat="1" ht="13" x14ac:dyDescent="0.3">
      <c r="A8" s="20">
        <v>1</v>
      </c>
      <c r="B8" s="20">
        <v>1</v>
      </c>
      <c r="C8" s="20" t="s">
        <v>36</v>
      </c>
      <c r="D8" s="19">
        <f>'user page'!Q$42</f>
        <v>5.9</v>
      </c>
      <c r="E8" s="396">
        <v>8.6180000000000007E-3</v>
      </c>
      <c r="F8" s="229">
        <f>EXP(E8*(D8-D25))</f>
        <v>1</v>
      </c>
      <c r="G8" s="269">
        <f>1-F8</f>
        <v>0</v>
      </c>
      <c r="H8" s="244">
        <f>-$G8*GBDNZ!E168</f>
        <v>0</v>
      </c>
      <c r="I8" s="15">
        <f>-$G8*GBDNZ!F168</f>
        <v>0</v>
      </c>
      <c r="J8" s="17">
        <v>0</v>
      </c>
      <c r="K8" s="19">
        <f t="shared" si="0"/>
        <v>0</v>
      </c>
      <c r="L8" s="23"/>
      <c r="M8" s="23"/>
      <c r="N8" s="23"/>
    </row>
    <row r="9" spans="1:21" s="13" customFormat="1" ht="13" x14ac:dyDescent="0.3">
      <c r="A9" s="20">
        <v>1</v>
      </c>
      <c r="B9" s="20">
        <v>1</v>
      </c>
      <c r="C9" s="20" t="s">
        <v>35</v>
      </c>
      <c r="D9" s="19">
        <f>'user page'!Q$42</f>
        <v>5.9</v>
      </c>
      <c r="E9" s="396">
        <v>8.6180000000000007E-3</v>
      </c>
      <c r="F9" s="229">
        <f>EXP(E9*(D9-D26))</f>
        <v>1</v>
      </c>
      <c r="G9" s="269">
        <f>1-F9</f>
        <v>0</v>
      </c>
      <c r="H9" s="244">
        <f>-$G9*GBDNZ!E169</f>
        <v>0</v>
      </c>
      <c r="I9" s="15">
        <f>-$G9*GBDNZ!F169</f>
        <v>0</v>
      </c>
      <c r="J9" s="17">
        <v>0</v>
      </c>
      <c r="K9" s="19">
        <f t="shared" si="0"/>
        <v>0</v>
      </c>
      <c r="L9" s="23"/>
      <c r="M9" s="23"/>
      <c r="N9" s="23"/>
    </row>
    <row r="10" spans="1:21" s="13" customFormat="1" ht="13" x14ac:dyDescent="0.3">
      <c r="A10" s="20">
        <v>1</v>
      </c>
      <c r="B10" s="20">
        <v>1</v>
      </c>
      <c r="C10" s="20" t="s">
        <v>34</v>
      </c>
      <c r="D10" s="19">
        <f>'user page'!Q$42</f>
        <v>5.9</v>
      </c>
      <c r="E10" s="396">
        <v>8.6180000000000007E-3</v>
      </c>
      <c r="F10" s="229">
        <f>EXP(E10*(D10-D27))</f>
        <v>1</v>
      </c>
      <c r="G10" s="269">
        <f>1-F10</f>
        <v>0</v>
      </c>
      <c r="H10" s="244">
        <f>-$G10*GBDNZ!E170</f>
        <v>0</v>
      </c>
      <c r="I10" s="15">
        <f>-$G10*GBDNZ!F170</f>
        <v>0</v>
      </c>
      <c r="J10" s="17">
        <v>0</v>
      </c>
      <c r="K10" s="19">
        <f t="shared" si="0"/>
        <v>0</v>
      </c>
      <c r="L10" s="23"/>
      <c r="M10" s="23"/>
      <c r="N10" s="23"/>
    </row>
    <row r="11" spans="1:21" s="13" customFormat="1" ht="13" x14ac:dyDescent="0.3">
      <c r="A11" s="20">
        <v>1</v>
      </c>
      <c r="B11" s="20">
        <v>2</v>
      </c>
      <c r="C11" s="20" t="s">
        <v>2</v>
      </c>
      <c r="D11" s="19">
        <f>'user page'!Q$42</f>
        <v>5.9</v>
      </c>
      <c r="E11" s="229"/>
      <c r="F11" s="229">
        <v>1</v>
      </c>
      <c r="G11" s="269"/>
      <c r="I11" s="406"/>
      <c r="J11" s="17">
        <v>0</v>
      </c>
      <c r="K11" s="17">
        <f t="shared" si="0"/>
        <v>0</v>
      </c>
      <c r="L11" s="17">
        <f>SUM(H5:H10)</f>
        <v>0</v>
      </c>
      <c r="M11" s="17">
        <f>SUM(I5:I10)</f>
        <v>0</v>
      </c>
      <c r="N11" s="17">
        <f>SUM(J5:J10)</f>
        <v>0</v>
      </c>
      <c r="O11" s="17">
        <f>M11+N11</f>
        <v>0</v>
      </c>
    </row>
    <row r="12" spans="1:21" s="13" customFormat="1" ht="13" x14ac:dyDescent="0.3">
      <c r="A12" s="20">
        <v>1</v>
      </c>
      <c r="B12" s="20">
        <v>2</v>
      </c>
      <c r="C12" s="20" t="s">
        <v>40</v>
      </c>
      <c r="D12" s="19">
        <f>'user page'!Q$42</f>
        <v>5.9</v>
      </c>
      <c r="E12" s="229"/>
      <c r="F12" s="229">
        <v>1</v>
      </c>
      <c r="G12" s="269"/>
      <c r="H12" s="17"/>
      <c r="I12" s="15"/>
      <c r="J12" s="17">
        <v>0</v>
      </c>
      <c r="K12" s="17">
        <f t="shared" si="0"/>
        <v>0</v>
      </c>
      <c r="L12" s="23"/>
      <c r="M12" s="23"/>
      <c r="N12" s="23"/>
    </row>
    <row r="13" spans="1:21" s="13" customFormat="1" ht="13" x14ac:dyDescent="0.3">
      <c r="A13" s="20">
        <v>1</v>
      </c>
      <c r="B13" s="20">
        <v>2</v>
      </c>
      <c r="C13" s="20" t="s">
        <v>39</v>
      </c>
      <c r="D13" s="19">
        <f>'user page'!Q$42</f>
        <v>5.9</v>
      </c>
      <c r="E13" s="229"/>
      <c r="F13" s="229">
        <v>1</v>
      </c>
      <c r="G13" s="269"/>
      <c r="H13" s="17"/>
      <c r="I13" s="15"/>
      <c r="J13" s="17">
        <v>0</v>
      </c>
      <c r="K13" s="17">
        <f t="shared" si="0"/>
        <v>0</v>
      </c>
      <c r="L13" s="23"/>
      <c r="M13" s="23"/>
      <c r="N13" s="23"/>
    </row>
    <row r="14" spans="1:21" s="13" customFormat="1" ht="13" x14ac:dyDescent="0.3">
      <c r="A14" s="20">
        <v>1</v>
      </c>
      <c r="B14" s="20">
        <v>2</v>
      </c>
      <c r="C14" s="20" t="s">
        <v>38</v>
      </c>
      <c r="D14" s="19">
        <f>'user page'!Q$42</f>
        <v>5.9</v>
      </c>
      <c r="E14" s="396">
        <v>8.6180000000000007E-3</v>
      </c>
      <c r="F14" s="229">
        <f>EXP(E14*(D14-D31))</f>
        <v>1</v>
      </c>
      <c r="G14" s="269">
        <f>1-F14</f>
        <v>0</v>
      </c>
      <c r="H14" s="228">
        <f>-$G14*GBDNZ!E174</f>
        <v>0</v>
      </c>
      <c r="I14" s="15">
        <f>-$G14*GBDNZ!F174</f>
        <v>0</v>
      </c>
      <c r="J14" s="17">
        <v>0</v>
      </c>
      <c r="K14" s="19">
        <f t="shared" si="0"/>
        <v>0</v>
      </c>
      <c r="L14" s="23"/>
      <c r="M14" s="23"/>
      <c r="N14" s="23"/>
    </row>
    <row r="15" spans="1:21" s="13" customFormat="1" ht="13" x14ac:dyDescent="0.3">
      <c r="A15" s="20">
        <v>1</v>
      </c>
      <c r="B15" s="20">
        <v>2</v>
      </c>
      <c r="C15" s="20" t="s">
        <v>37</v>
      </c>
      <c r="D15" s="19">
        <f>'user page'!Q$42</f>
        <v>5.9</v>
      </c>
      <c r="E15" s="396">
        <v>8.6180000000000007E-3</v>
      </c>
      <c r="F15" s="229">
        <f>EXP(E15*(D15-D32))</f>
        <v>1</v>
      </c>
      <c r="G15" s="269">
        <f>1-F15</f>
        <v>0</v>
      </c>
      <c r="H15" s="228">
        <f>-$G15*GBDNZ!E175</f>
        <v>0</v>
      </c>
      <c r="I15" s="15">
        <f>-$G15*GBDNZ!F175</f>
        <v>0</v>
      </c>
      <c r="J15" s="17">
        <v>0</v>
      </c>
      <c r="K15" s="19">
        <f t="shared" si="0"/>
        <v>0</v>
      </c>
      <c r="L15" s="23"/>
      <c r="M15" s="23"/>
      <c r="N15" s="23"/>
    </row>
    <row r="16" spans="1:21" s="13" customFormat="1" ht="13" x14ac:dyDescent="0.3">
      <c r="A16" s="20">
        <v>1</v>
      </c>
      <c r="B16" s="20">
        <v>2</v>
      </c>
      <c r="C16" s="20" t="s">
        <v>36</v>
      </c>
      <c r="D16" s="19">
        <f>'user page'!Q$42</f>
        <v>5.9</v>
      </c>
      <c r="E16" s="396">
        <v>8.6180000000000007E-3</v>
      </c>
      <c r="F16" s="229">
        <f>EXP(E16*(D16-D33))</f>
        <v>1</v>
      </c>
      <c r="G16" s="269">
        <f>1-F16</f>
        <v>0</v>
      </c>
      <c r="H16" s="228">
        <f>-$G16*GBDNZ!E176</f>
        <v>0</v>
      </c>
      <c r="I16" s="15">
        <f>-$G16*GBDNZ!F176</f>
        <v>0</v>
      </c>
      <c r="J16" s="17">
        <v>0</v>
      </c>
      <c r="K16" s="19">
        <f t="shared" si="0"/>
        <v>0</v>
      </c>
      <c r="L16" s="23"/>
      <c r="M16" s="23"/>
      <c r="N16" s="23"/>
    </row>
    <row r="17" spans="1:15" s="13" customFormat="1" ht="13" x14ac:dyDescent="0.3">
      <c r="A17" s="20">
        <v>1</v>
      </c>
      <c r="B17" s="20">
        <v>2</v>
      </c>
      <c r="C17" s="20" t="s">
        <v>35</v>
      </c>
      <c r="D17" s="19">
        <f>'user page'!Q$42</f>
        <v>5.9</v>
      </c>
      <c r="E17" s="396">
        <v>8.6180000000000007E-3</v>
      </c>
      <c r="F17" s="229">
        <f>EXP(E17*(D17-D34))</f>
        <v>1</v>
      </c>
      <c r="G17" s="269">
        <f>1-F17</f>
        <v>0</v>
      </c>
      <c r="H17" s="228">
        <f>-$G17*GBDNZ!E177</f>
        <v>0</v>
      </c>
      <c r="I17" s="15">
        <f>-$G17*GBDNZ!F177</f>
        <v>0</v>
      </c>
      <c r="J17" s="17">
        <v>0</v>
      </c>
      <c r="K17" s="19">
        <f t="shared" si="0"/>
        <v>0</v>
      </c>
      <c r="L17" s="23"/>
      <c r="M17" s="23"/>
      <c r="N17" s="23"/>
    </row>
    <row r="18" spans="1:15" s="13" customFormat="1" ht="13" x14ac:dyDescent="0.3">
      <c r="A18" s="20">
        <v>1</v>
      </c>
      <c r="B18" s="20">
        <v>2</v>
      </c>
      <c r="C18" s="20" t="s">
        <v>34</v>
      </c>
      <c r="D18" s="19">
        <f>'user page'!Q$42</f>
        <v>5.9</v>
      </c>
      <c r="E18" s="396">
        <v>8.6180000000000007E-3</v>
      </c>
      <c r="F18" s="229">
        <f>EXP(E18*(D18-D35))</f>
        <v>1</v>
      </c>
      <c r="G18" s="269">
        <f>1-F18</f>
        <v>0</v>
      </c>
      <c r="H18" s="228">
        <f>-$G18*GBDNZ!E178</f>
        <v>0</v>
      </c>
      <c r="I18" s="15">
        <f>-$G18*GBDNZ!F178</f>
        <v>0</v>
      </c>
      <c r="J18" s="17">
        <v>0</v>
      </c>
      <c r="K18" s="19">
        <f t="shared" si="0"/>
        <v>0</v>
      </c>
      <c r="L18" s="23"/>
      <c r="M18" s="23"/>
      <c r="N18" s="23"/>
    </row>
    <row r="19" spans="1:15" s="13" customFormat="1" ht="13" x14ac:dyDescent="0.3">
      <c r="A19" s="20"/>
      <c r="B19" s="20"/>
      <c r="C19" s="20"/>
      <c r="D19" s="20"/>
      <c r="E19" s="229"/>
      <c r="F19" s="15"/>
      <c r="G19" s="16"/>
      <c r="L19" s="17">
        <f>SUM(H13:H18)</f>
        <v>0</v>
      </c>
      <c r="M19" s="17">
        <f>SUM(I13:I18)</f>
        <v>0</v>
      </c>
      <c r="N19" s="17">
        <f>SUM(J13:J18)</f>
        <v>0</v>
      </c>
      <c r="O19" s="17">
        <f>SUM(K13:K18)</f>
        <v>0</v>
      </c>
    </row>
    <row r="20" spans="1:15" s="13" customFormat="1" ht="13" x14ac:dyDescent="0.3">
      <c r="A20" s="20">
        <v>0</v>
      </c>
      <c r="B20" s="20">
        <v>1</v>
      </c>
      <c r="C20" s="20" t="s">
        <v>2</v>
      </c>
      <c r="D20" s="20">
        <f>'user page'!$C$42</f>
        <v>5.9</v>
      </c>
      <c r="E20" s="229"/>
      <c r="F20" s="15"/>
      <c r="G20" s="16"/>
      <c r="L20" s="402">
        <f>L11+L19</f>
        <v>0</v>
      </c>
      <c r="M20" s="219">
        <f>M11+M19</f>
        <v>0</v>
      </c>
      <c r="N20" s="219">
        <f>N11+N19</f>
        <v>0</v>
      </c>
      <c r="O20" s="219">
        <f>O11+O19</f>
        <v>0</v>
      </c>
    </row>
    <row r="21" spans="1:15" s="13" customFormat="1" ht="13" x14ac:dyDescent="0.3">
      <c r="A21" s="20">
        <v>0</v>
      </c>
      <c r="B21" s="20">
        <v>1</v>
      </c>
      <c r="C21" s="20" t="s">
        <v>40</v>
      </c>
      <c r="D21" s="20">
        <f>'user page'!$C$42</f>
        <v>5.9</v>
      </c>
      <c r="E21" s="229"/>
      <c r="F21" s="15"/>
      <c r="G21" s="16"/>
      <c r="L21" s="233">
        <f>L20/GBDNZ!E179</f>
        <v>0</v>
      </c>
      <c r="M21" s="233">
        <f>M20/GBDNZ!F179</f>
        <v>0</v>
      </c>
      <c r="N21" s="233">
        <f>N20/GBDNZ!G179</f>
        <v>0</v>
      </c>
      <c r="O21" s="302">
        <f>O20/GBDNZ!H179</f>
        <v>0</v>
      </c>
    </row>
    <row r="22" spans="1:15" s="13" customFormat="1" ht="13" x14ac:dyDescent="0.3">
      <c r="A22" s="20">
        <v>0</v>
      </c>
      <c r="B22" s="20">
        <v>1</v>
      </c>
      <c r="C22" s="20" t="s">
        <v>39</v>
      </c>
      <c r="D22" s="20">
        <f>'user page'!$C$42</f>
        <v>5.9</v>
      </c>
      <c r="E22" s="229">
        <f t="shared" ref="E22:E27" si="1">E5</f>
        <v>0</v>
      </c>
      <c r="F22" s="19"/>
      <c r="G22" s="16"/>
      <c r="H22" s="17"/>
      <c r="I22" s="17"/>
      <c r="J22" s="17"/>
      <c r="K22" s="23"/>
      <c r="L22" s="23"/>
      <c r="M22" s="23"/>
      <c r="N22" s="23"/>
    </row>
    <row r="23" spans="1:15" s="13" customFormat="1" ht="13" x14ac:dyDescent="0.3">
      <c r="A23" s="20">
        <v>0</v>
      </c>
      <c r="B23" s="20">
        <v>1</v>
      </c>
      <c r="C23" s="20" t="s">
        <v>38</v>
      </c>
      <c r="D23" s="20">
        <f>'user page'!$C$42</f>
        <v>5.9</v>
      </c>
      <c r="E23" s="229">
        <f t="shared" si="1"/>
        <v>8.6180000000000007E-3</v>
      </c>
      <c r="F23" s="19"/>
      <c r="G23" s="16"/>
      <c r="H23" s="17"/>
      <c r="I23" s="17"/>
      <c r="J23" s="17"/>
      <c r="K23" s="23"/>
      <c r="L23" s="23"/>
      <c r="M23" s="23"/>
      <c r="N23" s="23"/>
    </row>
    <row r="24" spans="1:15" s="13" customFormat="1" ht="13" x14ac:dyDescent="0.3">
      <c r="A24" s="20">
        <v>0</v>
      </c>
      <c r="B24" s="20">
        <v>1</v>
      </c>
      <c r="C24" s="20" t="s">
        <v>37</v>
      </c>
      <c r="D24" s="20">
        <f>'user page'!$C$42</f>
        <v>5.9</v>
      </c>
      <c r="E24" s="229">
        <f t="shared" si="1"/>
        <v>8.6180000000000007E-3</v>
      </c>
      <c r="F24" s="19"/>
      <c r="G24" s="16"/>
      <c r="H24" s="17"/>
      <c r="I24" s="17"/>
      <c r="J24" s="17"/>
      <c r="K24" s="23"/>
      <c r="L24" s="23"/>
      <c r="M24" s="23"/>
      <c r="N24" s="23"/>
    </row>
    <row r="25" spans="1:15" s="13" customFormat="1" ht="13" x14ac:dyDescent="0.3">
      <c r="A25" s="20">
        <v>0</v>
      </c>
      <c r="B25" s="20">
        <v>1</v>
      </c>
      <c r="C25" s="20" t="s">
        <v>36</v>
      </c>
      <c r="D25" s="20">
        <f>'user page'!$C$42</f>
        <v>5.9</v>
      </c>
      <c r="E25" s="229">
        <f t="shared" si="1"/>
        <v>8.6180000000000007E-3</v>
      </c>
      <c r="F25" s="19"/>
      <c r="G25" s="16"/>
      <c r="H25" s="17"/>
      <c r="I25" s="17"/>
      <c r="J25" s="17"/>
      <c r="K25" s="23"/>
      <c r="L25" s="23"/>
      <c r="M25" s="23"/>
      <c r="N25" s="23"/>
    </row>
    <row r="26" spans="1:15" s="13" customFormat="1" ht="13" x14ac:dyDescent="0.3">
      <c r="A26" s="20">
        <v>0</v>
      </c>
      <c r="B26" s="20">
        <v>1</v>
      </c>
      <c r="C26" s="20" t="s">
        <v>35</v>
      </c>
      <c r="D26" s="20">
        <f>'user page'!$C$42</f>
        <v>5.9</v>
      </c>
      <c r="E26" s="229">
        <f t="shared" si="1"/>
        <v>8.6180000000000007E-3</v>
      </c>
      <c r="F26" s="19"/>
      <c r="G26" s="16"/>
      <c r="H26" s="17"/>
      <c r="I26" s="17"/>
      <c r="J26" s="17"/>
      <c r="K26" s="23"/>
      <c r="L26" s="23"/>
      <c r="M26" s="23"/>
      <c r="N26" s="23"/>
    </row>
    <row r="27" spans="1:15" s="13" customFormat="1" ht="13" x14ac:dyDescent="0.3">
      <c r="A27" s="20">
        <v>0</v>
      </c>
      <c r="B27" s="20">
        <v>1</v>
      </c>
      <c r="C27" s="20" t="s">
        <v>34</v>
      </c>
      <c r="D27" s="20">
        <f>'user page'!$C$42</f>
        <v>5.9</v>
      </c>
      <c r="E27" s="229">
        <f t="shared" si="1"/>
        <v>8.6180000000000007E-3</v>
      </c>
      <c r="F27" s="19"/>
      <c r="G27" s="16"/>
      <c r="H27" s="17"/>
      <c r="I27" s="17"/>
      <c r="J27" s="17"/>
      <c r="K27" s="23"/>
      <c r="L27" s="23"/>
      <c r="M27" s="23"/>
      <c r="N27" s="23"/>
    </row>
    <row r="28" spans="1:15" s="13" customFormat="1" ht="13" x14ac:dyDescent="0.3">
      <c r="A28" s="20">
        <v>0</v>
      </c>
      <c r="B28" s="20">
        <v>2</v>
      </c>
      <c r="C28" s="20" t="s">
        <v>2</v>
      </c>
      <c r="D28" s="20">
        <f>'user page'!$C$42</f>
        <v>5.9</v>
      </c>
      <c r="E28" s="229"/>
      <c r="F28" s="19"/>
      <c r="G28" s="16"/>
      <c r="H28" s="17"/>
      <c r="I28" s="17"/>
      <c r="J28" s="17"/>
      <c r="K28" s="23"/>
      <c r="L28" s="23"/>
      <c r="M28" s="23"/>
      <c r="N28" s="23"/>
    </row>
    <row r="29" spans="1:15" s="13" customFormat="1" ht="13" x14ac:dyDescent="0.3">
      <c r="A29" s="20">
        <v>0</v>
      </c>
      <c r="B29" s="20">
        <v>2</v>
      </c>
      <c r="C29" s="20" t="s">
        <v>40</v>
      </c>
      <c r="D29" s="20">
        <f>'user page'!$C$42</f>
        <v>5.9</v>
      </c>
      <c r="E29" s="229"/>
      <c r="F29" s="19"/>
      <c r="G29" s="16"/>
      <c r="H29" s="17"/>
      <c r="I29" s="17"/>
      <c r="J29" s="17"/>
      <c r="K29" s="23"/>
      <c r="L29" s="23"/>
      <c r="M29" s="23"/>
      <c r="N29" s="23"/>
    </row>
    <row r="30" spans="1:15" s="13" customFormat="1" ht="13" x14ac:dyDescent="0.3">
      <c r="A30" s="20">
        <v>0</v>
      </c>
      <c r="B30" s="20">
        <v>2</v>
      </c>
      <c r="C30" s="20" t="s">
        <v>39</v>
      </c>
      <c r="D30" s="20">
        <f>'user page'!$C$42</f>
        <v>5.9</v>
      </c>
      <c r="E30" s="229">
        <f t="shared" ref="E30:E35" si="2">E13</f>
        <v>0</v>
      </c>
      <c r="F30" s="19"/>
      <c r="G30" s="16"/>
      <c r="H30" s="17"/>
      <c r="I30" s="17"/>
      <c r="J30" s="17"/>
      <c r="K30" s="23"/>
      <c r="L30" s="23"/>
      <c r="M30" s="23"/>
      <c r="N30" s="23"/>
    </row>
    <row r="31" spans="1:15" s="13" customFormat="1" ht="13" x14ac:dyDescent="0.3">
      <c r="A31" s="20">
        <v>0</v>
      </c>
      <c r="B31" s="20">
        <v>2</v>
      </c>
      <c r="C31" s="20" t="s">
        <v>38</v>
      </c>
      <c r="D31" s="20">
        <f>'user page'!$C$42</f>
        <v>5.9</v>
      </c>
      <c r="E31" s="229">
        <f t="shared" si="2"/>
        <v>8.6180000000000007E-3</v>
      </c>
      <c r="F31" s="19"/>
      <c r="G31" s="16"/>
      <c r="H31" s="17"/>
      <c r="I31" s="17"/>
      <c r="J31" s="17"/>
      <c r="K31" s="23"/>
      <c r="L31" s="23"/>
      <c r="M31" s="23"/>
      <c r="N31" s="23"/>
    </row>
    <row r="32" spans="1:15" s="13" customFormat="1" ht="13" x14ac:dyDescent="0.3">
      <c r="A32" s="20">
        <v>0</v>
      </c>
      <c r="B32" s="20">
        <v>2</v>
      </c>
      <c r="C32" s="20" t="s">
        <v>37</v>
      </c>
      <c r="D32" s="20">
        <f>'user page'!$C$42</f>
        <v>5.9</v>
      </c>
      <c r="E32" s="229">
        <f t="shared" si="2"/>
        <v>8.6180000000000007E-3</v>
      </c>
      <c r="F32" s="19"/>
      <c r="G32" s="16"/>
      <c r="H32" s="17"/>
      <c r="I32" s="17"/>
      <c r="J32" s="17"/>
      <c r="K32" s="23"/>
      <c r="L32" s="23"/>
      <c r="M32" s="23"/>
      <c r="N32" s="23"/>
    </row>
    <row r="33" spans="1:14" s="13" customFormat="1" ht="13" x14ac:dyDescent="0.3">
      <c r="A33" s="20">
        <v>0</v>
      </c>
      <c r="B33" s="20">
        <v>2</v>
      </c>
      <c r="C33" s="20" t="s">
        <v>36</v>
      </c>
      <c r="D33" s="20">
        <f>'user page'!$C$42</f>
        <v>5.9</v>
      </c>
      <c r="E33" s="229">
        <f t="shared" si="2"/>
        <v>8.6180000000000007E-3</v>
      </c>
      <c r="F33" s="19"/>
      <c r="G33" s="16"/>
      <c r="H33" s="17"/>
      <c r="I33" s="17"/>
      <c r="J33" s="17"/>
      <c r="K33" s="23"/>
      <c r="L33" s="23"/>
      <c r="M33" s="23"/>
      <c r="N33" s="23"/>
    </row>
    <row r="34" spans="1:14" s="13" customFormat="1" ht="13" x14ac:dyDescent="0.3">
      <c r="A34" s="20">
        <v>0</v>
      </c>
      <c r="B34" s="20">
        <v>2</v>
      </c>
      <c r="C34" s="20" t="s">
        <v>35</v>
      </c>
      <c r="D34" s="20">
        <f>'user page'!$C$42</f>
        <v>5.9</v>
      </c>
      <c r="E34" s="229">
        <f t="shared" si="2"/>
        <v>8.6180000000000007E-3</v>
      </c>
      <c r="F34" s="19"/>
      <c r="G34" s="16"/>
      <c r="H34" s="17"/>
      <c r="I34" s="17"/>
      <c r="J34" s="17"/>
      <c r="K34" s="23"/>
      <c r="L34" s="23"/>
      <c r="M34" s="23"/>
      <c r="N34" s="23"/>
    </row>
    <row r="35" spans="1:14" s="13" customFormat="1" ht="13" x14ac:dyDescent="0.3">
      <c r="A35" s="20">
        <v>0</v>
      </c>
      <c r="B35" s="20">
        <v>2</v>
      </c>
      <c r="C35" s="20" t="s">
        <v>34</v>
      </c>
      <c r="D35" s="20">
        <f>'user page'!$C$42</f>
        <v>5.9</v>
      </c>
      <c r="E35" s="229">
        <f t="shared" si="2"/>
        <v>8.6180000000000007E-3</v>
      </c>
      <c r="F35" s="19"/>
      <c r="G35" s="16"/>
      <c r="H35" s="17"/>
      <c r="I35" s="17"/>
      <c r="J35" s="17"/>
      <c r="K35" s="23"/>
      <c r="L35" s="23"/>
      <c r="M35" s="23"/>
      <c r="N35" s="23"/>
    </row>
  </sheetData>
  <mergeCells count="1">
    <mergeCell ref="L1:O1"/>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workbookViewId="0">
      <selection activeCell="D18" sqref="D18"/>
    </sheetView>
  </sheetViews>
  <sheetFormatPr defaultColWidth="9.1796875" defaultRowHeight="14.5" x14ac:dyDescent="0.35"/>
  <cols>
    <col min="1" max="2" width="11.1796875" style="10" customWidth="1"/>
    <col min="3" max="3" width="10.453125" style="10" customWidth="1"/>
    <col min="4" max="4" width="13" style="10" customWidth="1"/>
    <col min="5" max="6" width="16" style="10" customWidth="1"/>
    <col min="7" max="7" width="8.81640625" style="12" customWidth="1"/>
    <col min="8" max="8" width="12.1796875" style="10" customWidth="1"/>
    <col min="9" max="9" width="11" style="10" customWidth="1"/>
    <col min="10" max="10" width="13" style="12" customWidth="1"/>
    <col min="11" max="11" width="12.453125" style="10" customWidth="1"/>
    <col min="12" max="12" width="5.453125" style="10" customWidth="1"/>
    <col min="13" max="13" width="4.453125" style="10" customWidth="1"/>
    <col min="14" max="14" width="6" style="10" customWidth="1"/>
    <col min="15" max="16384" width="9.1796875" style="10"/>
  </cols>
  <sheetData>
    <row r="1" spans="1:15" s="13" customFormat="1" ht="46.5" customHeight="1" x14ac:dyDescent="0.3">
      <c r="A1" s="20"/>
      <c r="B1" s="20"/>
      <c r="C1" s="20"/>
      <c r="D1" s="218" t="s">
        <v>133</v>
      </c>
      <c r="E1" s="29"/>
      <c r="F1" s="215" t="s">
        <v>53</v>
      </c>
      <c r="G1" s="216" t="s">
        <v>73</v>
      </c>
      <c r="H1" s="215" t="s">
        <v>137</v>
      </c>
      <c r="I1" s="215" t="s">
        <v>135</v>
      </c>
      <c r="J1" s="216" t="s">
        <v>136</v>
      </c>
      <c r="K1" s="216" t="s">
        <v>138</v>
      </c>
      <c r="L1" s="1078" t="s">
        <v>48</v>
      </c>
      <c r="M1" s="1078"/>
      <c r="N1" s="1078"/>
      <c r="O1" s="1078"/>
    </row>
    <row r="2" spans="1:15" s="23" customFormat="1" ht="44.25" customHeight="1" x14ac:dyDescent="0.3">
      <c r="A2" s="29" t="s">
        <v>47</v>
      </c>
      <c r="B2" s="29" t="s">
        <v>46</v>
      </c>
      <c r="C2" s="29" t="s">
        <v>45</v>
      </c>
      <c r="D2" s="20"/>
      <c r="E2" s="215" t="s">
        <v>134</v>
      </c>
      <c r="F2" s="215"/>
      <c r="G2" s="216"/>
      <c r="H2" s="215"/>
      <c r="I2" s="215"/>
      <c r="J2" s="215"/>
      <c r="K2" s="215"/>
      <c r="L2" s="399" t="s">
        <v>43</v>
      </c>
      <c r="M2" s="398" t="s">
        <v>42</v>
      </c>
      <c r="N2" s="398" t="s">
        <v>41</v>
      </c>
      <c r="O2" s="398" t="s">
        <v>28</v>
      </c>
    </row>
    <row r="3" spans="1:15" s="13" customFormat="1" ht="13" x14ac:dyDescent="0.3">
      <c r="A3" s="20">
        <v>1</v>
      </c>
      <c r="B3" s="20">
        <v>1</v>
      </c>
      <c r="C3" s="20" t="s">
        <v>2</v>
      </c>
      <c r="D3" s="20">
        <f>'Inflammatory HD'!D3</f>
        <v>5.9</v>
      </c>
      <c r="E3" s="15"/>
      <c r="F3" s="15"/>
      <c r="G3" s="16"/>
      <c r="H3" s="17"/>
      <c r="I3" s="17"/>
      <c r="J3" s="17"/>
      <c r="K3" s="17"/>
      <c r="L3" s="23"/>
      <c r="M3" s="23"/>
      <c r="N3" s="23"/>
    </row>
    <row r="4" spans="1:15" s="13" customFormat="1" ht="13" x14ac:dyDescent="0.3">
      <c r="A4" s="20">
        <v>1</v>
      </c>
      <c r="B4" s="20">
        <v>1</v>
      </c>
      <c r="C4" s="20" t="s">
        <v>40</v>
      </c>
      <c r="D4" s="20">
        <f>'Inflammatory HD'!D4</f>
        <v>5.9</v>
      </c>
      <c r="E4" s="15"/>
      <c r="F4" s="15"/>
      <c r="G4" s="16"/>
      <c r="H4" s="17"/>
      <c r="I4" s="17"/>
      <c r="J4" s="17"/>
      <c r="K4" s="17"/>
      <c r="L4" s="23"/>
      <c r="M4" s="23"/>
      <c r="N4" s="23"/>
    </row>
    <row r="5" spans="1:15" s="13" customFormat="1" ht="13" x14ac:dyDescent="0.3">
      <c r="A5" s="20">
        <v>1</v>
      </c>
      <c r="B5" s="20">
        <v>1</v>
      </c>
      <c r="C5" s="20" t="s">
        <v>39</v>
      </c>
      <c r="D5" s="20">
        <f>'Inflammatory HD'!D5</f>
        <v>5.9</v>
      </c>
      <c r="E5" s="228">
        <v>1.31028262406404E-2</v>
      </c>
      <c r="F5" s="244">
        <f t="shared" ref="F5:F10" si="0">EXP(E5*(D5-D22))</f>
        <v>1</v>
      </c>
      <c r="G5" s="30">
        <f t="shared" ref="G5:G10" si="1">1-F5</f>
        <v>0</v>
      </c>
      <c r="H5" s="19">
        <f>-$G5*GBDNZ!E143</f>
        <v>0</v>
      </c>
      <c r="I5" s="17">
        <f>-$G5*GBDNZ!F143</f>
        <v>0</v>
      </c>
      <c r="J5" s="17">
        <v>0</v>
      </c>
      <c r="K5" s="15">
        <f>I5+J5</f>
        <v>0</v>
      </c>
      <c r="L5" s="23"/>
      <c r="M5" s="23"/>
      <c r="N5" s="23"/>
    </row>
    <row r="6" spans="1:15" s="13" customFormat="1" ht="13" x14ac:dyDescent="0.3">
      <c r="A6" s="20">
        <v>1</v>
      </c>
      <c r="B6" s="20">
        <v>1</v>
      </c>
      <c r="C6" s="20" t="s">
        <v>38</v>
      </c>
      <c r="D6" s="20">
        <f>'Inflammatory HD'!D6</f>
        <v>5.9</v>
      </c>
      <c r="E6" s="228">
        <v>1.31028262406404E-2</v>
      </c>
      <c r="F6" s="244">
        <f t="shared" si="0"/>
        <v>1</v>
      </c>
      <c r="G6" s="30">
        <f t="shared" si="1"/>
        <v>0</v>
      </c>
      <c r="H6" s="19">
        <f>-$G6*GBDNZ!E144</f>
        <v>0</v>
      </c>
      <c r="I6" s="17">
        <f>-$G6*GBDNZ!F144</f>
        <v>0</v>
      </c>
      <c r="J6" s="17">
        <v>0</v>
      </c>
      <c r="K6" s="15">
        <f t="shared" ref="K6:K18" si="2">I6+J6</f>
        <v>0</v>
      </c>
      <c r="L6" s="23"/>
      <c r="M6" s="23"/>
      <c r="N6" s="23"/>
    </row>
    <row r="7" spans="1:15" s="13" customFormat="1" ht="13" x14ac:dyDescent="0.3">
      <c r="A7" s="20">
        <v>1</v>
      </c>
      <c r="B7" s="20">
        <v>1</v>
      </c>
      <c r="C7" s="20" t="s">
        <v>37</v>
      </c>
      <c r="D7" s="20">
        <f>'Inflammatory HD'!D7</f>
        <v>5.9</v>
      </c>
      <c r="E7" s="228">
        <v>1.31028262406404E-2</v>
      </c>
      <c r="F7" s="244">
        <f t="shared" si="0"/>
        <v>1</v>
      </c>
      <c r="G7" s="30">
        <f t="shared" si="1"/>
        <v>0</v>
      </c>
      <c r="H7" s="19">
        <f>-$G7*GBDNZ!E145</f>
        <v>0</v>
      </c>
      <c r="I7" s="17">
        <f>-$G7*GBDNZ!F145</f>
        <v>0</v>
      </c>
      <c r="J7" s="17">
        <v>0</v>
      </c>
      <c r="K7" s="15">
        <f t="shared" si="2"/>
        <v>0</v>
      </c>
      <c r="L7" s="23"/>
      <c r="M7" s="23"/>
      <c r="N7" s="23"/>
    </row>
    <row r="8" spans="1:15" s="13" customFormat="1" ht="13" x14ac:dyDescent="0.3">
      <c r="A8" s="20">
        <v>1</v>
      </c>
      <c r="B8" s="20">
        <v>1</v>
      </c>
      <c r="C8" s="20" t="s">
        <v>36</v>
      </c>
      <c r="D8" s="20">
        <f>'Inflammatory HD'!D8</f>
        <v>5.9</v>
      </c>
      <c r="E8" s="228">
        <v>1.31028262406404E-2</v>
      </c>
      <c r="F8" s="244">
        <f t="shared" si="0"/>
        <v>1</v>
      </c>
      <c r="G8" s="30">
        <f t="shared" si="1"/>
        <v>0</v>
      </c>
      <c r="H8" s="19">
        <f>-$G8*GBDNZ!E146</f>
        <v>0</v>
      </c>
      <c r="I8" s="17">
        <f>-$G8*GBDNZ!F146</f>
        <v>0</v>
      </c>
      <c r="J8" s="17">
        <v>0</v>
      </c>
      <c r="K8" s="15">
        <f t="shared" si="2"/>
        <v>0</v>
      </c>
      <c r="L8" s="23"/>
      <c r="M8" s="23"/>
      <c r="N8" s="23"/>
    </row>
    <row r="9" spans="1:15" s="13" customFormat="1" ht="13" x14ac:dyDescent="0.3">
      <c r="A9" s="20">
        <v>1</v>
      </c>
      <c r="B9" s="20">
        <v>1</v>
      </c>
      <c r="C9" s="20" t="s">
        <v>35</v>
      </c>
      <c r="D9" s="20">
        <f>'Inflammatory HD'!D9</f>
        <v>5.9</v>
      </c>
      <c r="E9" s="228">
        <v>1.31028262406404E-2</v>
      </c>
      <c r="F9" s="244">
        <f t="shared" si="0"/>
        <v>1</v>
      </c>
      <c r="G9" s="30">
        <f t="shared" si="1"/>
        <v>0</v>
      </c>
      <c r="H9" s="19">
        <f>-$G9*GBDNZ!E147</f>
        <v>0</v>
      </c>
      <c r="I9" s="17">
        <f>-$G9*GBDNZ!F147</f>
        <v>0</v>
      </c>
      <c r="J9" s="17">
        <v>0</v>
      </c>
      <c r="K9" s="15">
        <f t="shared" si="2"/>
        <v>0</v>
      </c>
      <c r="L9" s="23"/>
      <c r="M9" s="23"/>
      <c r="N9" s="23"/>
    </row>
    <row r="10" spans="1:15" s="13" customFormat="1" ht="13" x14ac:dyDescent="0.3">
      <c r="A10" s="20">
        <v>1</v>
      </c>
      <c r="B10" s="20">
        <v>1</v>
      </c>
      <c r="C10" s="20" t="s">
        <v>34</v>
      </c>
      <c r="D10" s="20">
        <f>'Inflammatory HD'!D10</f>
        <v>5.9</v>
      </c>
      <c r="E10" s="228">
        <v>1.31028262406404E-2</v>
      </c>
      <c r="F10" s="244">
        <f t="shared" si="0"/>
        <v>1</v>
      </c>
      <c r="G10" s="30">
        <f t="shared" si="1"/>
        <v>0</v>
      </c>
      <c r="H10" s="19">
        <f>-$G10*GBDNZ!E148</f>
        <v>0</v>
      </c>
      <c r="I10" s="17">
        <f>-$G10*GBDNZ!F148</f>
        <v>0</v>
      </c>
      <c r="J10" s="17">
        <v>0</v>
      </c>
      <c r="K10" s="15">
        <f t="shared" si="2"/>
        <v>0</v>
      </c>
      <c r="L10" s="23"/>
      <c r="M10" s="23"/>
      <c r="N10" s="23"/>
    </row>
    <row r="11" spans="1:15" s="13" customFormat="1" ht="13" x14ac:dyDescent="0.3">
      <c r="A11" s="20">
        <v>1</v>
      </c>
      <c r="B11" s="20">
        <v>2</v>
      </c>
      <c r="C11" s="20" t="s">
        <v>2</v>
      </c>
      <c r="D11" s="20">
        <f>'Inflammatory HD'!D11</f>
        <v>5.9</v>
      </c>
      <c r="E11" s="228"/>
      <c r="F11" s="244"/>
      <c r="G11" s="30"/>
      <c r="J11" s="17">
        <v>0</v>
      </c>
      <c r="L11" s="17">
        <f>SUM(H5:H10)</f>
        <v>0</v>
      </c>
      <c r="M11" s="17">
        <f>SUM(I5:I10)</f>
        <v>0</v>
      </c>
      <c r="N11" s="17">
        <f>SUM(J5:J10)</f>
        <v>0</v>
      </c>
      <c r="O11" s="17">
        <f>M11+N11</f>
        <v>0</v>
      </c>
    </row>
    <row r="12" spans="1:15" s="13" customFormat="1" ht="13" x14ac:dyDescent="0.3">
      <c r="A12" s="20">
        <v>1</v>
      </c>
      <c r="B12" s="20">
        <v>2</v>
      </c>
      <c r="C12" s="20" t="s">
        <v>40</v>
      </c>
      <c r="D12" s="20">
        <f>'Inflammatory HD'!D12</f>
        <v>5.9</v>
      </c>
      <c r="E12" s="228"/>
      <c r="F12" s="244"/>
      <c r="G12" s="30"/>
      <c r="H12" s="17"/>
      <c r="I12" s="17"/>
      <c r="J12" s="17">
        <v>0</v>
      </c>
      <c r="K12" s="15">
        <f t="shared" si="2"/>
        <v>0</v>
      </c>
      <c r="L12" s="23"/>
      <c r="M12" s="23"/>
      <c r="N12" s="23"/>
    </row>
    <row r="13" spans="1:15" s="13" customFormat="1" ht="13" x14ac:dyDescent="0.3">
      <c r="A13" s="20">
        <v>1</v>
      </c>
      <c r="B13" s="20">
        <v>2</v>
      </c>
      <c r="C13" s="20" t="s">
        <v>39</v>
      </c>
      <c r="D13" s="20">
        <f>'Inflammatory HD'!D13</f>
        <v>5.9</v>
      </c>
      <c r="E13" s="228">
        <v>1.31028262406404E-2</v>
      </c>
      <c r="F13" s="244">
        <f t="shared" ref="F13:F18" si="3">EXP(E13*(D13-D30))</f>
        <v>1</v>
      </c>
      <c r="G13" s="30">
        <f t="shared" ref="G13:G18" si="4">1-F13</f>
        <v>0</v>
      </c>
      <c r="H13" s="15">
        <f>-$G13*GBDNZ!E151</f>
        <v>0</v>
      </c>
      <c r="I13" s="17">
        <f>-$G13*GBDNZ!F151</f>
        <v>0</v>
      </c>
      <c r="J13" s="17">
        <v>0</v>
      </c>
      <c r="K13" s="15">
        <f t="shared" si="2"/>
        <v>0</v>
      </c>
      <c r="L13" s="23"/>
      <c r="M13" s="23"/>
      <c r="N13" s="23"/>
    </row>
    <row r="14" spans="1:15" s="13" customFormat="1" ht="13" x14ac:dyDescent="0.3">
      <c r="A14" s="20">
        <v>1</v>
      </c>
      <c r="B14" s="20">
        <v>2</v>
      </c>
      <c r="C14" s="20" t="s">
        <v>38</v>
      </c>
      <c r="D14" s="20">
        <f>'Inflammatory HD'!D14</f>
        <v>5.9</v>
      </c>
      <c r="E14" s="228">
        <v>1.31028262406404E-2</v>
      </c>
      <c r="F14" s="244">
        <f t="shared" si="3"/>
        <v>1</v>
      </c>
      <c r="G14" s="30">
        <f t="shared" si="4"/>
        <v>0</v>
      </c>
      <c r="H14" s="15">
        <f>-$G14*GBDNZ!E152</f>
        <v>0</v>
      </c>
      <c r="I14" s="17">
        <f>-$G14*GBDNZ!F152</f>
        <v>0</v>
      </c>
      <c r="J14" s="17">
        <v>0</v>
      </c>
      <c r="K14" s="15">
        <f t="shared" si="2"/>
        <v>0</v>
      </c>
      <c r="L14" s="23"/>
      <c r="M14" s="23"/>
      <c r="N14" s="23"/>
    </row>
    <row r="15" spans="1:15" s="13" customFormat="1" ht="13" x14ac:dyDescent="0.3">
      <c r="A15" s="20">
        <v>1</v>
      </c>
      <c r="B15" s="20">
        <v>2</v>
      </c>
      <c r="C15" s="20" t="s">
        <v>37</v>
      </c>
      <c r="D15" s="20">
        <f>'Inflammatory HD'!D15</f>
        <v>5.9</v>
      </c>
      <c r="E15" s="228">
        <v>1.31028262406404E-2</v>
      </c>
      <c r="F15" s="244">
        <f t="shared" si="3"/>
        <v>1</v>
      </c>
      <c r="G15" s="30">
        <f t="shared" si="4"/>
        <v>0</v>
      </c>
      <c r="H15" s="15">
        <f>-$G15*GBDNZ!E153</f>
        <v>0</v>
      </c>
      <c r="I15" s="17">
        <f>-$G15*GBDNZ!F153</f>
        <v>0</v>
      </c>
      <c r="J15" s="17">
        <v>0</v>
      </c>
      <c r="K15" s="15">
        <f t="shared" si="2"/>
        <v>0</v>
      </c>
      <c r="L15" s="23"/>
      <c r="M15" s="23"/>
      <c r="N15" s="23"/>
    </row>
    <row r="16" spans="1:15" s="13" customFormat="1" ht="13" x14ac:dyDescent="0.3">
      <c r="A16" s="20">
        <v>1</v>
      </c>
      <c r="B16" s="20">
        <v>2</v>
      </c>
      <c r="C16" s="20" t="s">
        <v>36</v>
      </c>
      <c r="D16" s="20">
        <f>'Inflammatory HD'!D16</f>
        <v>5.9</v>
      </c>
      <c r="E16" s="228">
        <v>1.31028262406404E-2</v>
      </c>
      <c r="F16" s="244">
        <f t="shared" si="3"/>
        <v>1</v>
      </c>
      <c r="G16" s="30">
        <f t="shared" si="4"/>
        <v>0</v>
      </c>
      <c r="H16" s="15">
        <f>-$G16*GBDNZ!E154</f>
        <v>0</v>
      </c>
      <c r="I16" s="17">
        <f>-$G16*GBDNZ!F154</f>
        <v>0</v>
      </c>
      <c r="J16" s="17">
        <v>0</v>
      </c>
      <c r="K16" s="15">
        <f t="shared" si="2"/>
        <v>0</v>
      </c>
      <c r="L16" s="23"/>
      <c r="M16" s="23"/>
      <c r="N16" s="23"/>
    </row>
    <row r="17" spans="1:15" s="13" customFormat="1" ht="13" x14ac:dyDescent="0.3">
      <c r="A17" s="20">
        <v>1</v>
      </c>
      <c r="B17" s="20">
        <v>2</v>
      </c>
      <c r="C17" s="20" t="s">
        <v>35</v>
      </c>
      <c r="D17" s="20">
        <f>'Inflammatory HD'!D17</f>
        <v>5.9</v>
      </c>
      <c r="E17" s="228">
        <v>1.31028262406404E-2</v>
      </c>
      <c r="F17" s="244">
        <f t="shared" si="3"/>
        <v>1</v>
      </c>
      <c r="G17" s="30">
        <f t="shared" si="4"/>
        <v>0</v>
      </c>
      <c r="H17" s="15">
        <f>-$G17*GBDNZ!E155</f>
        <v>0</v>
      </c>
      <c r="I17" s="17">
        <f>-$G17*GBDNZ!F155</f>
        <v>0</v>
      </c>
      <c r="J17" s="17">
        <v>0</v>
      </c>
      <c r="K17" s="15">
        <f t="shared" si="2"/>
        <v>0</v>
      </c>
      <c r="L17" s="23"/>
      <c r="M17" s="23"/>
      <c r="N17" s="23"/>
    </row>
    <row r="18" spans="1:15" s="13" customFormat="1" ht="13" x14ac:dyDescent="0.3">
      <c r="A18" s="20">
        <v>1</v>
      </c>
      <c r="B18" s="20">
        <v>2</v>
      </c>
      <c r="C18" s="20" t="s">
        <v>34</v>
      </c>
      <c r="D18" s="20">
        <f>'Inflammatory HD'!D18</f>
        <v>5.9</v>
      </c>
      <c r="E18" s="228">
        <v>1.31028262406404E-2</v>
      </c>
      <c r="F18" s="244">
        <f t="shared" si="3"/>
        <v>1</v>
      </c>
      <c r="G18" s="30">
        <f t="shared" si="4"/>
        <v>0</v>
      </c>
      <c r="H18" s="15">
        <f>-$G18*GBDNZ!E156</f>
        <v>0</v>
      </c>
      <c r="I18" s="17">
        <f>-$G18*GBDNZ!F156</f>
        <v>0</v>
      </c>
      <c r="J18" s="17">
        <v>0</v>
      </c>
      <c r="K18" s="15">
        <f t="shared" si="2"/>
        <v>0</v>
      </c>
      <c r="L18" s="23"/>
      <c r="M18" s="23"/>
      <c r="N18" s="23"/>
    </row>
    <row r="19" spans="1:15" s="13" customFormat="1" ht="13" x14ac:dyDescent="0.3">
      <c r="A19" s="20"/>
      <c r="B19" s="20"/>
      <c r="C19" s="20"/>
      <c r="D19" s="20">
        <f>'Inflammatory HD'!D19</f>
        <v>0</v>
      </c>
      <c r="E19" s="15"/>
      <c r="F19" s="15"/>
      <c r="G19" s="16"/>
      <c r="L19" s="17">
        <f>SUM(H13:H18)</f>
        <v>0</v>
      </c>
      <c r="M19" s="17">
        <f>SUM(I13:I18)</f>
        <v>0</v>
      </c>
      <c r="N19" s="17">
        <f>SUM(J13:J18)</f>
        <v>0</v>
      </c>
      <c r="O19" s="17">
        <f>M19+N19</f>
        <v>0</v>
      </c>
    </row>
    <row r="20" spans="1:15" s="13" customFormat="1" ht="13" x14ac:dyDescent="0.3">
      <c r="A20" s="20">
        <v>0</v>
      </c>
      <c r="B20" s="20">
        <v>1</v>
      </c>
      <c r="C20" s="20" t="s">
        <v>2</v>
      </c>
      <c r="D20" s="20">
        <f>'Inflammatory HD'!D20</f>
        <v>5.9</v>
      </c>
      <c r="E20" s="15"/>
      <c r="F20" s="15"/>
      <c r="G20" s="16"/>
      <c r="L20" s="17">
        <f>L19+L11</f>
        <v>0</v>
      </c>
      <c r="M20" s="17">
        <f>M19+M11</f>
        <v>0</v>
      </c>
      <c r="N20" s="17">
        <f>N19+N11</f>
        <v>0</v>
      </c>
      <c r="O20" s="17">
        <f>O19+O11</f>
        <v>0</v>
      </c>
    </row>
    <row r="21" spans="1:15" s="13" customFormat="1" ht="13" x14ac:dyDescent="0.3">
      <c r="A21" s="20">
        <v>0</v>
      </c>
      <c r="B21" s="20">
        <v>1</v>
      </c>
      <c r="C21" s="20" t="s">
        <v>40</v>
      </c>
      <c r="D21" s="20">
        <f>'Inflammatory HD'!D21</f>
        <v>5.9</v>
      </c>
      <c r="E21" s="15"/>
      <c r="F21" s="15"/>
      <c r="G21" s="16"/>
      <c r="L21" s="32">
        <f>L20/GBDNZ!E157</f>
        <v>0</v>
      </c>
      <c r="M21" s="32">
        <f>M20/GBDNZ!F157</f>
        <v>0</v>
      </c>
      <c r="N21" s="32">
        <f>N20/GBDNZ!G157</f>
        <v>0</v>
      </c>
      <c r="O21" s="32">
        <f>O20/GBDNZ!H157</f>
        <v>0</v>
      </c>
    </row>
    <row r="22" spans="1:15" s="13" customFormat="1" ht="13" x14ac:dyDescent="0.3">
      <c r="A22" s="20">
        <v>0</v>
      </c>
      <c r="B22" s="20">
        <v>1</v>
      </c>
      <c r="C22" s="20" t="s">
        <v>39</v>
      </c>
      <c r="D22" s="20">
        <f>'Inflammatory HD'!D22</f>
        <v>5.9</v>
      </c>
      <c r="E22" s="228">
        <f t="shared" ref="E22:E27" si="5">E5</f>
        <v>1.31028262406404E-2</v>
      </c>
      <c r="F22" s="19"/>
      <c r="G22" s="16"/>
      <c r="H22" s="17"/>
      <c r="I22" s="17"/>
      <c r="J22" s="17"/>
      <c r="K22" s="23"/>
      <c r="L22" s="23"/>
      <c r="M22" s="23"/>
      <c r="N22" s="23"/>
    </row>
    <row r="23" spans="1:15" s="13" customFormat="1" ht="13" x14ac:dyDescent="0.3">
      <c r="A23" s="20">
        <v>0</v>
      </c>
      <c r="B23" s="20">
        <v>1</v>
      </c>
      <c r="C23" s="20" t="s">
        <v>38</v>
      </c>
      <c r="D23" s="20">
        <f>'Inflammatory HD'!D23</f>
        <v>5.9</v>
      </c>
      <c r="E23" s="228">
        <f t="shared" si="5"/>
        <v>1.31028262406404E-2</v>
      </c>
      <c r="F23" s="19"/>
      <c r="G23" s="16"/>
      <c r="H23" s="17"/>
      <c r="I23" s="17"/>
      <c r="J23" s="17"/>
      <c r="K23" s="23"/>
      <c r="L23" s="23"/>
      <c r="M23" s="23"/>
      <c r="N23" s="23"/>
    </row>
    <row r="24" spans="1:15" s="13" customFormat="1" ht="13" x14ac:dyDescent="0.3">
      <c r="A24" s="20">
        <v>0</v>
      </c>
      <c r="B24" s="20">
        <v>1</v>
      </c>
      <c r="C24" s="20" t="s">
        <v>37</v>
      </c>
      <c r="D24" s="20">
        <f>'Inflammatory HD'!D24</f>
        <v>5.9</v>
      </c>
      <c r="E24" s="228">
        <f t="shared" si="5"/>
        <v>1.31028262406404E-2</v>
      </c>
      <c r="F24" s="19"/>
      <c r="G24" s="16"/>
      <c r="H24" s="17"/>
      <c r="I24" s="17"/>
      <c r="J24" s="17"/>
      <c r="K24" s="23"/>
      <c r="L24" s="23"/>
      <c r="M24" s="23"/>
      <c r="N24" s="23"/>
    </row>
    <row r="25" spans="1:15" s="13" customFormat="1" ht="13" x14ac:dyDescent="0.3">
      <c r="A25" s="20">
        <v>0</v>
      </c>
      <c r="B25" s="20">
        <v>1</v>
      </c>
      <c r="C25" s="20" t="s">
        <v>36</v>
      </c>
      <c r="D25" s="20">
        <f>'Inflammatory HD'!D25</f>
        <v>5.9</v>
      </c>
      <c r="E25" s="228">
        <f t="shared" si="5"/>
        <v>1.31028262406404E-2</v>
      </c>
      <c r="F25" s="19"/>
      <c r="G25" s="16"/>
      <c r="H25" s="17"/>
      <c r="I25" s="17"/>
      <c r="J25" s="17"/>
      <c r="K25" s="23"/>
      <c r="L25" s="23"/>
      <c r="M25" s="23"/>
      <c r="N25" s="23"/>
    </row>
    <row r="26" spans="1:15" s="13" customFormat="1" ht="13" x14ac:dyDescent="0.3">
      <c r="A26" s="20">
        <v>0</v>
      </c>
      <c r="B26" s="20">
        <v>1</v>
      </c>
      <c r="C26" s="20" t="s">
        <v>35</v>
      </c>
      <c r="D26" s="20">
        <f>'Inflammatory HD'!D26</f>
        <v>5.9</v>
      </c>
      <c r="E26" s="228">
        <f t="shared" si="5"/>
        <v>1.31028262406404E-2</v>
      </c>
      <c r="F26" s="19"/>
      <c r="G26" s="16"/>
      <c r="H26" s="17"/>
      <c r="I26" s="17"/>
      <c r="J26" s="17"/>
      <c r="K26" s="23"/>
      <c r="L26" s="23"/>
      <c r="M26" s="23"/>
      <c r="N26" s="23"/>
    </row>
    <row r="27" spans="1:15" s="13" customFormat="1" ht="13" x14ac:dyDescent="0.3">
      <c r="A27" s="20">
        <v>0</v>
      </c>
      <c r="B27" s="20">
        <v>1</v>
      </c>
      <c r="C27" s="20" t="s">
        <v>34</v>
      </c>
      <c r="D27" s="20">
        <f>'Inflammatory HD'!D27</f>
        <v>5.9</v>
      </c>
      <c r="E27" s="228">
        <f t="shared" si="5"/>
        <v>1.31028262406404E-2</v>
      </c>
      <c r="F27" s="19"/>
      <c r="G27" s="16"/>
      <c r="H27" s="17"/>
      <c r="I27" s="17"/>
      <c r="J27" s="17"/>
      <c r="K27" s="23"/>
      <c r="L27" s="23"/>
      <c r="M27" s="23"/>
      <c r="N27" s="23"/>
    </row>
    <row r="28" spans="1:15" s="13" customFormat="1" ht="13" x14ac:dyDescent="0.3">
      <c r="A28" s="20">
        <v>0</v>
      </c>
      <c r="B28" s="20">
        <v>2</v>
      </c>
      <c r="C28" s="20" t="s">
        <v>2</v>
      </c>
      <c r="D28" s="20">
        <f>'Inflammatory HD'!D28</f>
        <v>5.9</v>
      </c>
      <c r="E28" s="19"/>
      <c r="F28" s="19"/>
      <c r="G28" s="16"/>
      <c r="H28" s="17"/>
      <c r="I28" s="17"/>
      <c r="J28" s="17"/>
      <c r="K28" s="23"/>
      <c r="L28" s="23"/>
      <c r="M28" s="23"/>
      <c r="N28" s="23"/>
    </row>
    <row r="29" spans="1:15" s="13" customFormat="1" ht="13" x14ac:dyDescent="0.3">
      <c r="A29" s="20">
        <v>0</v>
      </c>
      <c r="B29" s="20">
        <v>2</v>
      </c>
      <c r="C29" s="20" t="s">
        <v>40</v>
      </c>
      <c r="D29" s="20">
        <f>'Inflammatory HD'!D29</f>
        <v>5.9</v>
      </c>
      <c r="E29" s="19"/>
      <c r="F29" s="19"/>
      <c r="G29" s="16"/>
      <c r="H29" s="17"/>
      <c r="I29" s="17"/>
      <c r="J29" s="17"/>
      <c r="K29" s="23"/>
      <c r="L29" s="23"/>
      <c r="M29" s="23"/>
      <c r="N29" s="23"/>
    </row>
    <row r="30" spans="1:15" s="13" customFormat="1" ht="13" x14ac:dyDescent="0.3">
      <c r="A30" s="20">
        <v>0</v>
      </c>
      <c r="B30" s="20">
        <v>2</v>
      </c>
      <c r="C30" s="20" t="s">
        <v>39</v>
      </c>
      <c r="D30" s="20">
        <f>'Inflammatory HD'!D30</f>
        <v>5.9</v>
      </c>
      <c r="E30" s="228">
        <f t="shared" ref="E30:E35" si="6">E13</f>
        <v>1.31028262406404E-2</v>
      </c>
      <c r="F30" s="19"/>
      <c r="G30" s="16"/>
      <c r="H30" s="17"/>
      <c r="I30" s="17"/>
      <c r="J30" s="17"/>
      <c r="K30" s="23"/>
      <c r="L30" s="23"/>
      <c r="M30" s="23"/>
      <c r="N30" s="23"/>
    </row>
    <row r="31" spans="1:15" s="13" customFormat="1" ht="13" x14ac:dyDescent="0.3">
      <c r="A31" s="20">
        <v>0</v>
      </c>
      <c r="B31" s="20">
        <v>2</v>
      </c>
      <c r="C31" s="20" t="s">
        <v>38</v>
      </c>
      <c r="D31" s="20">
        <f>'Inflammatory HD'!D31</f>
        <v>5.9</v>
      </c>
      <c r="E31" s="228">
        <f t="shared" si="6"/>
        <v>1.31028262406404E-2</v>
      </c>
      <c r="F31" s="19"/>
      <c r="G31" s="16"/>
      <c r="H31" s="17"/>
      <c r="I31" s="17"/>
      <c r="J31" s="17"/>
      <c r="K31" s="23"/>
      <c r="L31" s="23"/>
      <c r="M31" s="23"/>
      <c r="N31" s="23"/>
    </row>
    <row r="32" spans="1:15" s="13" customFormat="1" ht="13" x14ac:dyDescent="0.3">
      <c r="A32" s="20">
        <v>0</v>
      </c>
      <c r="B32" s="20">
        <v>2</v>
      </c>
      <c r="C32" s="20" t="s">
        <v>37</v>
      </c>
      <c r="D32" s="20">
        <f>'Inflammatory HD'!D32</f>
        <v>5.9</v>
      </c>
      <c r="E32" s="228">
        <f t="shared" si="6"/>
        <v>1.31028262406404E-2</v>
      </c>
      <c r="F32" s="19"/>
      <c r="G32" s="16"/>
      <c r="H32" s="17"/>
      <c r="I32" s="17"/>
      <c r="J32" s="17"/>
      <c r="K32" s="23"/>
      <c r="L32" s="23"/>
      <c r="M32" s="23"/>
      <c r="N32" s="23"/>
    </row>
    <row r="33" spans="1:14" s="13" customFormat="1" ht="13" x14ac:dyDescent="0.3">
      <c r="A33" s="20">
        <v>0</v>
      </c>
      <c r="B33" s="20">
        <v>2</v>
      </c>
      <c r="C33" s="20" t="s">
        <v>36</v>
      </c>
      <c r="D33" s="20">
        <f>'Inflammatory HD'!D33</f>
        <v>5.9</v>
      </c>
      <c r="E33" s="228">
        <f t="shared" si="6"/>
        <v>1.31028262406404E-2</v>
      </c>
      <c r="F33" s="19"/>
      <c r="G33" s="16"/>
      <c r="H33" s="17"/>
      <c r="I33" s="17"/>
      <c r="J33" s="17"/>
      <c r="K33" s="23"/>
      <c r="L33" s="23"/>
      <c r="M33" s="23"/>
      <c r="N33" s="23"/>
    </row>
    <row r="34" spans="1:14" s="13" customFormat="1" ht="13" x14ac:dyDescent="0.3">
      <c r="A34" s="20">
        <v>0</v>
      </c>
      <c r="B34" s="20">
        <v>2</v>
      </c>
      <c r="C34" s="20" t="s">
        <v>35</v>
      </c>
      <c r="D34" s="20">
        <f>'Inflammatory HD'!D34</f>
        <v>5.9</v>
      </c>
      <c r="E34" s="228">
        <f t="shared" si="6"/>
        <v>1.31028262406404E-2</v>
      </c>
      <c r="F34" s="19"/>
      <c r="G34" s="16"/>
      <c r="H34" s="17"/>
      <c r="I34" s="17"/>
      <c r="J34" s="17"/>
      <c r="K34" s="23"/>
      <c r="L34" s="23"/>
      <c r="M34" s="23"/>
      <c r="N34" s="23"/>
    </row>
    <row r="35" spans="1:14" s="13" customFormat="1" ht="13" x14ac:dyDescent="0.3">
      <c r="A35" s="20">
        <v>0</v>
      </c>
      <c r="B35" s="20">
        <v>2</v>
      </c>
      <c r="C35" s="20" t="s">
        <v>34</v>
      </c>
      <c r="D35" s="20">
        <f>'Inflammatory HD'!D35</f>
        <v>5.9</v>
      </c>
      <c r="E35" s="228">
        <f t="shared" si="6"/>
        <v>1.31028262406404E-2</v>
      </c>
      <c r="F35" s="19"/>
      <c r="G35" s="16"/>
      <c r="H35" s="17"/>
      <c r="I35" s="17"/>
      <c r="J35" s="17"/>
      <c r="K35" s="23"/>
      <c r="L35" s="23"/>
      <c r="M35" s="23"/>
      <c r="N35" s="23"/>
    </row>
  </sheetData>
  <mergeCells count="1">
    <mergeCell ref="L1:O1"/>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D16" sqref="D16"/>
    </sheetView>
  </sheetViews>
  <sheetFormatPr defaultColWidth="9.1796875" defaultRowHeight="14.5" x14ac:dyDescent="0.35"/>
  <cols>
    <col min="1" max="2" width="11.1796875" style="10" customWidth="1"/>
    <col min="3" max="3" width="10.453125" style="10" customWidth="1"/>
    <col min="4" max="4" width="13" style="10" customWidth="1"/>
    <col min="5" max="6" width="16" style="10" customWidth="1"/>
    <col min="7" max="7" width="8.81640625" style="12" customWidth="1"/>
    <col min="8" max="8" width="12.1796875" style="10" customWidth="1"/>
    <col min="9" max="9" width="11" style="10" customWidth="1"/>
    <col min="10" max="10" width="13" style="12" customWidth="1"/>
    <col min="11" max="11" width="12.453125" style="10" customWidth="1"/>
    <col min="12" max="12" width="6.7265625" style="10" customWidth="1"/>
    <col min="13" max="13" width="6.81640625" style="10" customWidth="1"/>
    <col min="14" max="14" width="6" style="10" customWidth="1"/>
    <col min="15" max="16384" width="9.1796875" style="10"/>
  </cols>
  <sheetData>
    <row r="1" spans="1:15" s="13" customFormat="1" ht="46.5" customHeight="1" x14ac:dyDescent="0.3">
      <c r="A1" s="20"/>
      <c r="B1" s="20"/>
      <c r="C1" s="20"/>
      <c r="D1" s="218" t="s">
        <v>133</v>
      </c>
      <c r="E1" s="29"/>
      <c r="F1" s="215" t="s">
        <v>53</v>
      </c>
      <c r="G1" s="216" t="s">
        <v>73</v>
      </c>
      <c r="H1" s="215" t="s">
        <v>137</v>
      </c>
      <c r="I1" s="215" t="s">
        <v>135</v>
      </c>
      <c r="J1" s="216" t="s">
        <v>136</v>
      </c>
      <c r="K1" s="216" t="s">
        <v>138</v>
      </c>
      <c r="L1" s="1078" t="s">
        <v>48</v>
      </c>
      <c r="M1" s="1078"/>
      <c r="N1" s="1078"/>
      <c r="O1" s="1078"/>
    </row>
    <row r="2" spans="1:15" s="23" customFormat="1" ht="44.25" customHeight="1" x14ac:dyDescent="0.3">
      <c r="A2" s="29" t="s">
        <v>47</v>
      </c>
      <c r="B2" s="29" t="s">
        <v>46</v>
      </c>
      <c r="C2" s="29" t="s">
        <v>45</v>
      </c>
      <c r="D2" s="20"/>
      <c r="E2" s="215" t="s">
        <v>134</v>
      </c>
      <c r="F2" s="215"/>
      <c r="G2" s="216"/>
      <c r="H2" s="215"/>
      <c r="I2" s="215"/>
      <c r="J2" s="215"/>
      <c r="K2" s="215"/>
      <c r="L2" s="399" t="s">
        <v>43</v>
      </c>
      <c r="M2" s="398" t="s">
        <v>42</v>
      </c>
      <c r="N2" s="398" t="s">
        <v>41</v>
      </c>
      <c r="O2" s="398" t="s">
        <v>28</v>
      </c>
    </row>
    <row r="3" spans="1:15" s="13" customFormat="1" ht="13" x14ac:dyDescent="0.3">
      <c r="A3" s="20">
        <v>1</v>
      </c>
      <c r="B3" s="20">
        <v>1</v>
      </c>
      <c r="C3" s="20" t="s">
        <v>2</v>
      </c>
      <c r="D3" s="20">
        <f>'Lung Cancer'!D3</f>
        <v>5.9</v>
      </c>
      <c r="E3" s="15"/>
      <c r="F3" s="15"/>
      <c r="G3" s="16"/>
      <c r="H3" s="17"/>
      <c r="I3" s="17"/>
      <c r="J3" s="17"/>
      <c r="K3" s="17"/>
      <c r="L3" s="23"/>
      <c r="M3" s="23"/>
      <c r="N3" s="23"/>
    </row>
    <row r="4" spans="1:15" s="13" customFormat="1" ht="13" x14ac:dyDescent="0.3">
      <c r="A4" s="20">
        <v>1</v>
      </c>
      <c r="B4" s="20">
        <v>1</v>
      </c>
      <c r="C4" s="20" t="s">
        <v>40</v>
      </c>
      <c r="D4" s="20">
        <f>'Lung Cancer'!D4</f>
        <v>5.9</v>
      </c>
      <c r="E4" s="15"/>
      <c r="F4" s="15"/>
      <c r="G4" s="16"/>
      <c r="H4" s="17"/>
      <c r="I4" s="17"/>
      <c r="J4" s="17"/>
      <c r="K4" s="17"/>
      <c r="L4" s="23"/>
      <c r="M4" s="23"/>
      <c r="N4" s="23"/>
    </row>
    <row r="5" spans="1:15" s="13" customFormat="1" ht="13" x14ac:dyDescent="0.3">
      <c r="A5" s="20">
        <v>1</v>
      </c>
      <c r="B5" s="20">
        <v>1</v>
      </c>
      <c r="C5" s="20" t="s">
        <v>39</v>
      </c>
      <c r="D5" s="20">
        <f>'Lung Cancer'!D5</f>
        <v>5.9</v>
      </c>
      <c r="E5" s="228"/>
      <c r="F5" s="19"/>
      <c r="G5" s="30"/>
      <c r="H5" s="17"/>
      <c r="I5" s="17"/>
      <c r="J5" s="17"/>
      <c r="K5" s="17"/>
      <c r="L5" s="23"/>
      <c r="M5" s="23"/>
      <c r="N5" s="23"/>
    </row>
    <row r="6" spans="1:15" s="13" customFormat="1" ht="13" x14ac:dyDescent="0.3">
      <c r="A6" s="20">
        <v>1</v>
      </c>
      <c r="B6" s="20">
        <v>1</v>
      </c>
      <c r="C6" s="20" t="s">
        <v>38</v>
      </c>
      <c r="D6" s="20">
        <f>'Lung Cancer'!D6</f>
        <v>5.9</v>
      </c>
      <c r="E6" s="262">
        <v>8.6180000000000007E-3</v>
      </c>
      <c r="F6" s="244">
        <f>EXP(E6*(D6-D23))</f>
        <v>1</v>
      </c>
      <c r="G6" s="30">
        <f>1-F6</f>
        <v>0</v>
      </c>
      <c r="H6" s="19">
        <f>-$G6*GBDNZ!E184</f>
        <v>0</v>
      </c>
      <c r="I6" s="19">
        <f>-$G6*GBDNZ!F184</f>
        <v>0</v>
      </c>
      <c r="J6" s="17">
        <v>0</v>
      </c>
      <c r="K6" s="17">
        <f t="shared" ref="K6:K18" si="0">I6+J6</f>
        <v>0</v>
      </c>
      <c r="L6" s="23"/>
      <c r="M6" s="23"/>
      <c r="N6" s="23"/>
    </row>
    <row r="7" spans="1:15" s="13" customFormat="1" ht="13" x14ac:dyDescent="0.3">
      <c r="A7" s="20">
        <v>1</v>
      </c>
      <c r="B7" s="20">
        <v>1</v>
      </c>
      <c r="C7" s="20" t="s">
        <v>37</v>
      </c>
      <c r="D7" s="20">
        <f>'Lung Cancer'!D7</f>
        <v>5.9</v>
      </c>
      <c r="E7" s="262">
        <v>8.6180000000000007E-3</v>
      </c>
      <c r="F7" s="244">
        <f>EXP(E7*(D7-D24))</f>
        <v>1</v>
      </c>
      <c r="G7" s="30">
        <f>1-F7</f>
        <v>0</v>
      </c>
      <c r="H7" s="19">
        <f>-$G7*GBDNZ!E185</f>
        <v>0</v>
      </c>
      <c r="I7" s="19">
        <f>-$G7*GBDNZ!F185</f>
        <v>0</v>
      </c>
      <c r="J7" s="17">
        <v>0</v>
      </c>
      <c r="K7" s="17">
        <f t="shared" si="0"/>
        <v>0</v>
      </c>
      <c r="L7" s="23"/>
      <c r="M7" s="23"/>
      <c r="N7" s="23"/>
    </row>
    <row r="8" spans="1:15" s="13" customFormat="1" ht="13" x14ac:dyDescent="0.3">
      <c r="A8" s="20">
        <v>1</v>
      </c>
      <c r="B8" s="20">
        <v>1</v>
      </c>
      <c r="C8" s="20" t="s">
        <v>36</v>
      </c>
      <c r="D8" s="20">
        <f>'Lung Cancer'!D8</f>
        <v>5.9</v>
      </c>
      <c r="E8" s="262">
        <v>8.6180000000000007E-3</v>
      </c>
      <c r="F8" s="244">
        <f>EXP(E8*(D8-D25))</f>
        <v>1</v>
      </c>
      <c r="G8" s="30">
        <f>1-F8</f>
        <v>0</v>
      </c>
      <c r="H8" s="19">
        <f>-$G8*GBDNZ!E186</f>
        <v>0</v>
      </c>
      <c r="I8" s="19">
        <f>-$G8*GBDNZ!F186</f>
        <v>0</v>
      </c>
      <c r="J8" s="17">
        <v>0</v>
      </c>
      <c r="K8" s="17">
        <f t="shared" si="0"/>
        <v>0</v>
      </c>
      <c r="L8" s="23"/>
      <c r="M8" s="23"/>
      <c r="N8" s="23"/>
    </row>
    <row r="9" spans="1:15" s="13" customFormat="1" ht="13" x14ac:dyDescent="0.3">
      <c r="A9" s="20">
        <v>1</v>
      </c>
      <c r="B9" s="20">
        <v>1</v>
      </c>
      <c r="C9" s="20" t="s">
        <v>35</v>
      </c>
      <c r="D9" s="20">
        <f>'Lung Cancer'!D9</f>
        <v>5.9</v>
      </c>
      <c r="E9" s="262">
        <v>8.6180000000000007E-3</v>
      </c>
      <c r="F9" s="244">
        <f>EXP(E9*(D9-D26))</f>
        <v>1</v>
      </c>
      <c r="G9" s="30">
        <f>1-F9</f>
        <v>0</v>
      </c>
      <c r="H9" s="19">
        <f>-$G9*GBDNZ!E187</f>
        <v>0</v>
      </c>
      <c r="I9" s="19">
        <f>-$G9*GBDNZ!F187</f>
        <v>0</v>
      </c>
      <c r="J9" s="17">
        <v>0</v>
      </c>
      <c r="K9" s="17">
        <f t="shared" si="0"/>
        <v>0</v>
      </c>
      <c r="L9" s="23"/>
      <c r="M9" s="23"/>
      <c r="N9" s="23"/>
    </row>
    <row r="10" spans="1:15" s="13" customFormat="1" ht="13" x14ac:dyDescent="0.3">
      <c r="A10" s="20">
        <v>1</v>
      </c>
      <c r="B10" s="20">
        <v>1</v>
      </c>
      <c r="C10" s="20" t="s">
        <v>34</v>
      </c>
      <c r="D10" s="20">
        <f>'Lung Cancer'!D10</f>
        <v>5.9</v>
      </c>
      <c r="E10" s="262">
        <v>8.6180000000000007E-3</v>
      </c>
      <c r="F10" s="244">
        <f>EXP(E10*(D10-D27))</f>
        <v>1</v>
      </c>
      <c r="G10" s="30">
        <f>1-F10</f>
        <v>0</v>
      </c>
      <c r="H10" s="19">
        <f>-$G10*GBDNZ!E188</f>
        <v>0</v>
      </c>
      <c r="I10" s="19">
        <f>-$G10*GBDNZ!F188</f>
        <v>0</v>
      </c>
      <c r="J10" s="17">
        <v>0</v>
      </c>
      <c r="K10" s="17">
        <f t="shared" si="0"/>
        <v>0</v>
      </c>
      <c r="L10" s="23"/>
      <c r="M10" s="23"/>
      <c r="N10" s="23"/>
    </row>
    <row r="11" spans="1:15" s="13" customFormat="1" ht="13" x14ac:dyDescent="0.3">
      <c r="A11" s="20">
        <v>1</v>
      </c>
      <c r="B11" s="20">
        <v>2</v>
      </c>
      <c r="C11" s="20" t="s">
        <v>2</v>
      </c>
      <c r="D11" s="20">
        <f>'Lung Cancer'!D11</f>
        <v>5.9</v>
      </c>
      <c r="E11" s="19"/>
      <c r="F11" s="244"/>
      <c r="G11" s="30"/>
      <c r="J11" s="17">
        <v>0</v>
      </c>
      <c r="L11" s="17">
        <f>SUM(H5:H10)</f>
        <v>0</v>
      </c>
      <c r="M11" s="17">
        <f>SUM(I5:I10)</f>
        <v>0</v>
      </c>
      <c r="N11" s="17">
        <f>SUM(J5:J10)</f>
        <v>0</v>
      </c>
      <c r="O11" s="17">
        <f>M11+N11</f>
        <v>0</v>
      </c>
    </row>
    <row r="12" spans="1:15" s="13" customFormat="1" ht="13" x14ac:dyDescent="0.3">
      <c r="A12" s="20">
        <v>1</v>
      </c>
      <c r="B12" s="20">
        <v>2</v>
      </c>
      <c r="C12" s="20" t="s">
        <v>40</v>
      </c>
      <c r="D12" s="20">
        <f>'Lung Cancer'!D12</f>
        <v>5.9</v>
      </c>
      <c r="E12" s="19"/>
      <c r="F12" s="244"/>
      <c r="G12" s="30"/>
      <c r="H12" s="17"/>
      <c r="I12" s="17"/>
      <c r="J12" s="17">
        <v>0</v>
      </c>
      <c r="K12" s="17">
        <f t="shared" si="0"/>
        <v>0</v>
      </c>
      <c r="L12" s="23"/>
      <c r="M12" s="23"/>
      <c r="N12" s="23"/>
    </row>
    <row r="13" spans="1:15" s="13" customFormat="1" ht="13" x14ac:dyDescent="0.3">
      <c r="A13" s="20">
        <v>1</v>
      </c>
      <c r="B13" s="20">
        <v>2</v>
      </c>
      <c r="C13" s="20" t="s">
        <v>39</v>
      </c>
      <c r="D13" s="20">
        <f>'Lung Cancer'!D13</f>
        <v>5.9</v>
      </c>
      <c r="E13" s="262">
        <v>8.6180000000000007E-3</v>
      </c>
      <c r="F13" s="244">
        <f t="shared" ref="F13:F18" si="1">EXP(E13*(D13-D30))</f>
        <v>1</v>
      </c>
      <c r="G13" s="30">
        <f t="shared" ref="G13:G18" si="2">1-F13</f>
        <v>0</v>
      </c>
      <c r="H13" s="15">
        <f>-$G13*GBDNZ!E191</f>
        <v>0</v>
      </c>
      <c r="I13" s="19">
        <f>-$G13*GBDNZ!F191</f>
        <v>0</v>
      </c>
      <c r="J13" s="17">
        <v>0</v>
      </c>
      <c r="K13" s="17">
        <f t="shared" si="0"/>
        <v>0</v>
      </c>
      <c r="L13" s="23"/>
      <c r="M13" s="23"/>
      <c r="N13" s="23"/>
    </row>
    <row r="14" spans="1:15" s="13" customFormat="1" ht="13" x14ac:dyDescent="0.3">
      <c r="A14" s="20">
        <v>1</v>
      </c>
      <c r="B14" s="20">
        <v>2</v>
      </c>
      <c r="C14" s="20" t="s">
        <v>38</v>
      </c>
      <c r="D14" s="20">
        <f>'Lung Cancer'!D14</f>
        <v>5.9</v>
      </c>
      <c r="E14" s="262">
        <v>8.6180000000000007E-3</v>
      </c>
      <c r="F14" s="244">
        <f t="shared" si="1"/>
        <v>1</v>
      </c>
      <c r="G14" s="30">
        <f t="shared" si="2"/>
        <v>0</v>
      </c>
      <c r="H14" s="15">
        <f>-$G14*GBDNZ!E192</f>
        <v>0</v>
      </c>
      <c r="I14" s="19">
        <f>-$G14*GBDNZ!F192</f>
        <v>0</v>
      </c>
      <c r="J14" s="17">
        <v>0</v>
      </c>
      <c r="K14" s="17">
        <f t="shared" si="0"/>
        <v>0</v>
      </c>
      <c r="L14" s="23"/>
      <c r="M14" s="23"/>
      <c r="N14" s="23"/>
    </row>
    <row r="15" spans="1:15" s="13" customFormat="1" ht="13" x14ac:dyDescent="0.3">
      <c r="A15" s="20">
        <v>1</v>
      </c>
      <c r="B15" s="20">
        <v>2</v>
      </c>
      <c r="C15" s="20" t="s">
        <v>37</v>
      </c>
      <c r="D15" s="20">
        <f>'Lung Cancer'!D15</f>
        <v>5.9</v>
      </c>
      <c r="E15" s="262">
        <v>8.6180000000000007E-3</v>
      </c>
      <c r="F15" s="244">
        <f t="shared" si="1"/>
        <v>1</v>
      </c>
      <c r="G15" s="30">
        <f t="shared" si="2"/>
        <v>0</v>
      </c>
      <c r="H15" s="15">
        <f>-$G15*GBDNZ!E193</f>
        <v>0</v>
      </c>
      <c r="I15" s="19">
        <f>-$G15*GBDNZ!F193</f>
        <v>0</v>
      </c>
      <c r="J15" s="17">
        <v>0</v>
      </c>
      <c r="K15" s="17">
        <f t="shared" si="0"/>
        <v>0</v>
      </c>
      <c r="L15" s="23"/>
      <c r="M15" s="23"/>
      <c r="N15" s="23"/>
    </row>
    <row r="16" spans="1:15" s="13" customFormat="1" ht="13" x14ac:dyDescent="0.3">
      <c r="A16" s="20">
        <v>1</v>
      </c>
      <c r="B16" s="20">
        <v>2</v>
      </c>
      <c r="C16" s="20" t="s">
        <v>36</v>
      </c>
      <c r="D16" s="20">
        <f>'Lung Cancer'!D16</f>
        <v>5.9</v>
      </c>
      <c r="E16" s="262">
        <v>8.6180000000000007E-3</v>
      </c>
      <c r="F16" s="244">
        <f t="shared" si="1"/>
        <v>1</v>
      </c>
      <c r="G16" s="30">
        <f t="shared" si="2"/>
        <v>0</v>
      </c>
      <c r="H16" s="15">
        <f>-$G16*GBDNZ!E194</f>
        <v>0</v>
      </c>
      <c r="I16" s="19">
        <f>-$G16*GBDNZ!F194</f>
        <v>0</v>
      </c>
      <c r="J16" s="17">
        <v>0</v>
      </c>
      <c r="K16" s="17">
        <f t="shared" si="0"/>
        <v>0</v>
      </c>
      <c r="L16" s="23"/>
      <c r="M16" s="23"/>
      <c r="N16" s="23"/>
    </row>
    <row r="17" spans="1:15" s="13" customFormat="1" ht="13" x14ac:dyDescent="0.3">
      <c r="A17" s="20">
        <v>1</v>
      </c>
      <c r="B17" s="20">
        <v>2</v>
      </c>
      <c r="C17" s="20" t="s">
        <v>35</v>
      </c>
      <c r="D17" s="20">
        <f>'Lung Cancer'!D17</f>
        <v>5.9</v>
      </c>
      <c r="E17" s="262">
        <v>8.6180000000000007E-3</v>
      </c>
      <c r="F17" s="244">
        <f t="shared" si="1"/>
        <v>1</v>
      </c>
      <c r="G17" s="30">
        <f t="shared" si="2"/>
        <v>0</v>
      </c>
      <c r="H17" s="15">
        <f>-$G17*GBDNZ!E195</f>
        <v>0</v>
      </c>
      <c r="I17" s="19">
        <f>-$G17*GBDNZ!F195</f>
        <v>0</v>
      </c>
      <c r="J17" s="17">
        <v>0</v>
      </c>
      <c r="K17" s="17">
        <f t="shared" si="0"/>
        <v>0</v>
      </c>
      <c r="L17" s="23"/>
      <c r="M17" s="23"/>
      <c r="N17" s="23"/>
    </row>
    <row r="18" spans="1:15" s="13" customFormat="1" ht="13" x14ac:dyDescent="0.3">
      <c r="A18" s="20">
        <v>1</v>
      </c>
      <c r="B18" s="20">
        <v>2</v>
      </c>
      <c r="C18" s="20" t="s">
        <v>34</v>
      </c>
      <c r="D18" s="20">
        <f>'Lung Cancer'!D18</f>
        <v>5.9</v>
      </c>
      <c r="E18" s="262">
        <v>8.6180000000000007E-3</v>
      </c>
      <c r="F18" s="244">
        <f t="shared" si="1"/>
        <v>1</v>
      </c>
      <c r="G18" s="30">
        <f t="shared" si="2"/>
        <v>0</v>
      </c>
      <c r="H18" s="15">
        <f>-$G18*GBDNZ!E196</f>
        <v>0</v>
      </c>
      <c r="I18" s="19">
        <f>-$G18*GBDNZ!F196</f>
        <v>0</v>
      </c>
      <c r="J18" s="17">
        <v>0</v>
      </c>
      <c r="K18" s="17">
        <f t="shared" si="0"/>
        <v>0</v>
      </c>
      <c r="L18" s="23"/>
      <c r="M18" s="23"/>
      <c r="N18" s="23"/>
    </row>
    <row r="19" spans="1:15" s="13" customFormat="1" ht="13" x14ac:dyDescent="0.3">
      <c r="A19" s="20"/>
      <c r="B19" s="20"/>
      <c r="C19" s="20"/>
      <c r="D19" s="20">
        <f>'Lung Cancer'!D19</f>
        <v>0</v>
      </c>
      <c r="E19" s="15"/>
      <c r="F19" s="15"/>
      <c r="G19" s="16"/>
      <c r="L19" s="17">
        <f>SUM(H13:H18)</f>
        <v>0</v>
      </c>
      <c r="M19" s="17">
        <f>SUM(I13:I18)</f>
        <v>0</v>
      </c>
      <c r="N19" s="17">
        <f>SUM(J13:J18)</f>
        <v>0</v>
      </c>
      <c r="O19" s="17">
        <f>M19+N19</f>
        <v>0</v>
      </c>
    </row>
    <row r="20" spans="1:15" s="13" customFormat="1" ht="13" x14ac:dyDescent="0.3">
      <c r="A20" s="20">
        <v>0</v>
      </c>
      <c r="B20" s="20">
        <v>1</v>
      </c>
      <c r="C20" s="20" t="s">
        <v>2</v>
      </c>
      <c r="D20" s="228">
        <f>'Lung Cancer'!D20</f>
        <v>5.9</v>
      </c>
      <c r="E20" s="15"/>
      <c r="F20" s="15"/>
      <c r="G20" s="16"/>
      <c r="L20" s="17">
        <f>L19+L11</f>
        <v>0</v>
      </c>
      <c r="M20" s="17">
        <f>M19+M11</f>
        <v>0</v>
      </c>
      <c r="N20" s="17">
        <f>N19+N11</f>
        <v>0</v>
      </c>
      <c r="O20" s="17">
        <f>O19+O11</f>
        <v>0</v>
      </c>
    </row>
    <row r="21" spans="1:15" s="13" customFormat="1" ht="13" x14ac:dyDescent="0.3">
      <c r="A21" s="20">
        <v>0</v>
      </c>
      <c r="B21" s="20">
        <v>1</v>
      </c>
      <c r="C21" s="20" t="s">
        <v>40</v>
      </c>
      <c r="D21" s="228">
        <f>'Lung Cancer'!D21</f>
        <v>5.9</v>
      </c>
      <c r="E21" s="15"/>
      <c r="F21" s="15"/>
      <c r="G21" s="16"/>
      <c r="L21" s="293">
        <f>L20/GBDNZ!E197</f>
        <v>0</v>
      </c>
      <c r="M21" s="293">
        <f>M20/GBDNZ!F197</f>
        <v>0</v>
      </c>
      <c r="N21" s="293">
        <f>N20/GBDNZ!G197</f>
        <v>0</v>
      </c>
      <c r="O21" s="302">
        <f>O20/GBDNZ!H197</f>
        <v>0</v>
      </c>
    </row>
    <row r="22" spans="1:15" s="13" customFormat="1" ht="13" x14ac:dyDescent="0.3">
      <c r="A22" s="20">
        <v>0</v>
      </c>
      <c r="B22" s="20">
        <v>1</v>
      </c>
      <c r="C22" s="20" t="s">
        <v>39</v>
      </c>
      <c r="D22" s="228">
        <f>'Lung Cancer'!D22</f>
        <v>5.9</v>
      </c>
      <c r="E22" s="228">
        <f t="shared" ref="E22:E27" si="3">E5</f>
        <v>0</v>
      </c>
      <c r="F22" s="19"/>
      <c r="G22" s="16"/>
      <c r="H22" s="17"/>
      <c r="I22" s="17"/>
      <c r="J22" s="17"/>
      <c r="K22" s="23"/>
      <c r="L22" s="23"/>
      <c r="M22" s="23"/>
      <c r="N22" s="23"/>
    </row>
    <row r="23" spans="1:15" s="13" customFormat="1" ht="13" x14ac:dyDescent="0.3">
      <c r="A23" s="20">
        <v>0</v>
      </c>
      <c r="B23" s="20">
        <v>1</v>
      </c>
      <c r="C23" s="20" t="s">
        <v>38</v>
      </c>
      <c r="D23" s="228">
        <f>'Lung Cancer'!D23</f>
        <v>5.9</v>
      </c>
      <c r="E23" s="228">
        <f t="shared" si="3"/>
        <v>8.6180000000000007E-3</v>
      </c>
      <c r="F23" s="19"/>
      <c r="G23" s="16"/>
      <c r="H23" s="17"/>
      <c r="I23" s="17"/>
      <c r="J23" s="17"/>
      <c r="K23" s="23"/>
      <c r="L23" s="23"/>
      <c r="M23" s="23"/>
      <c r="N23" s="23"/>
    </row>
    <row r="24" spans="1:15" s="13" customFormat="1" ht="13" x14ac:dyDescent="0.3">
      <c r="A24" s="20">
        <v>0</v>
      </c>
      <c r="B24" s="20">
        <v>1</v>
      </c>
      <c r="C24" s="20" t="s">
        <v>37</v>
      </c>
      <c r="D24" s="228">
        <f>'Lung Cancer'!D24</f>
        <v>5.9</v>
      </c>
      <c r="E24" s="228">
        <f t="shared" si="3"/>
        <v>8.6180000000000007E-3</v>
      </c>
      <c r="F24" s="19"/>
      <c r="G24" s="16"/>
      <c r="H24" s="17"/>
      <c r="I24" s="17"/>
      <c r="J24" s="17"/>
      <c r="K24" s="23"/>
      <c r="L24" s="23"/>
      <c r="M24" s="23"/>
      <c r="N24" s="23"/>
    </row>
    <row r="25" spans="1:15" s="13" customFormat="1" ht="13" x14ac:dyDescent="0.3">
      <c r="A25" s="20">
        <v>0</v>
      </c>
      <c r="B25" s="20">
        <v>1</v>
      </c>
      <c r="C25" s="20" t="s">
        <v>36</v>
      </c>
      <c r="D25" s="228">
        <f>'Lung Cancer'!D25</f>
        <v>5.9</v>
      </c>
      <c r="E25" s="228">
        <f t="shared" si="3"/>
        <v>8.6180000000000007E-3</v>
      </c>
      <c r="F25" s="19"/>
      <c r="G25" s="16"/>
      <c r="H25" s="17"/>
      <c r="I25" s="17"/>
      <c r="J25" s="17"/>
      <c r="K25" s="23"/>
      <c r="L25" s="23"/>
      <c r="M25" s="23"/>
      <c r="N25" s="23"/>
    </row>
    <row r="26" spans="1:15" s="13" customFormat="1" ht="13" x14ac:dyDescent="0.3">
      <c r="A26" s="20">
        <v>0</v>
      </c>
      <c r="B26" s="20">
        <v>1</v>
      </c>
      <c r="C26" s="20" t="s">
        <v>35</v>
      </c>
      <c r="D26" s="228">
        <f>'Lung Cancer'!D26</f>
        <v>5.9</v>
      </c>
      <c r="E26" s="228">
        <f t="shared" si="3"/>
        <v>8.6180000000000007E-3</v>
      </c>
      <c r="F26" s="19"/>
      <c r="G26" s="16"/>
      <c r="H26" s="17"/>
      <c r="I26" s="17"/>
      <c r="J26" s="17"/>
      <c r="K26" s="23"/>
      <c r="L26" s="23"/>
      <c r="M26" s="23"/>
      <c r="N26" s="23"/>
    </row>
    <row r="27" spans="1:15" s="13" customFormat="1" ht="13" x14ac:dyDescent="0.3">
      <c r="A27" s="20">
        <v>0</v>
      </c>
      <c r="B27" s="20">
        <v>1</v>
      </c>
      <c r="C27" s="20" t="s">
        <v>34</v>
      </c>
      <c r="D27" s="228">
        <f>'Lung Cancer'!D27</f>
        <v>5.9</v>
      </c>
      <c r="E27" s="228">
        <f t="shared" si="3"/>
        <v>8.6180000000000007E-3</v>
      </c>
      <c r="F27" s="19"/>
      <c r="G27" s="16"/>
      <c r="H27" s="17"/>
      <c r="I27" s="17"/>
      <c r="J27" s="17"/>
      <c r="K27" s="23"/>
      <c r="L27" s="23"/>
      <c r="M27" s="23"/>
      <c r="N27" s="23"/>
    </row>
    <row r="28" spans="1:15" s="13" customFormat="1" ht="13" x14ac:dyDescent="0.3">
      <c r="A28" s="20">
        <v>0</v>
      </c>
      <c r="B28" s="20">
        <v>2</v>
      </c>
      <c r="C28" s="20" t="s">
        <v>2</v>
      </c>
      <c r="D28" s="228">
        <f>'Lung Cancer'!D28</f>
        <v>5.9</v>
      </c>
      <c r="E28" s="19"/>
      <c r="F28" s="19"/>
      <c r="G28" s="16"/>
      <c r="H28" s="17"/>
      <c r="I28" s="17"/>
      <c r="J28" s="17"/>
      <c r="K28" s="23"/>
      <c r="L28" s="23"/>
      <c r="M28" s="23"/>
      <c r="N28" s="23"/>
    </row>
    <row r="29" spans="1:15" s="13" customFormat="1" ht="13" x14ac:dyDescent="0.3">
      <c r="A29" s="20">
        <v>0</v>
      </c>
      <c r="B29" s="20">
        <v>2</v>
      </c>
      <c r="C29" s="20" t="s">
        <v>40</v>
      </c>
      <c r="D29" s="228">
        <f>'Lung Cancer'!D29</f>
        <v>5.9</v>
      </c>
      <c r="E29" s="19"/>
      <c r="F29" s="19"/>
      <c r="G29" s="16"/>
      <c r="H29" s="17"/>
      <c r="I29" s="17"/>
      <c r="J29" s="17"/>
      <c r="K29" s="23"/>
      <c r="L29" s="23"/>
      <c r="M29" s="23"/>
      <c r="N29" s="23"/>
    </row>
    <row r="30" spans="1:15" s="13" customFormat="1" ht="13" x14ac:dyDescent="0.3">
      <c r="A30" s="20">
        <v>0</v>
      </c>
      <c r="B30" s="20">
        <v>2</v>
      </c>
      <c r="C30" s="20" t="s">
        <v>39</v>
      </c>
      <c r="D30" s="228">
        <f>'Lung Cancer'!D30</f>
        <v>5.9</v>
      </c>
      <c r="E30" s="228">
        <f t="shared" ref="E30:E35" si="4">E13</f>
        <v>8.6180000000000007E-3</v>
      </c>
      <c r="F30" s="19"/>
      <c r="G30" s="16"/>
      <c r="H30" s="17"/>
      <c r="I30" s="17"/>
      <c r="J30" s="17"/>
      <c r="K30" s="23"/>
      <c r="L30" s="23"/>
      <c r="M30" s="23"/>
      <c r="N30" s="23"/>
    </row>
    <row r="31" spans="1:15" s="13" customFormat="1" ht="13" x14ac:dyDescent="0.3">
      <c r="A31" s="20">
        <v>0</v>
      </c>
      <c r="B31" s="20">
        <v>2</v>
      </c>
      <c r="C31" s="20" t="s">
        <v>38</v>
      </c>
      <c r="D31" s="228">
        <f>'Lung Cancer'!D31</f>
        <v>5.9</v>
      </c>
      <c r="E31" s="228">
        <f t="shared" si="4"/>
        <v>8.6180000000000007E-3</v>
      </c>
      <c r="F31" s="19"/>
      <c r="G31" s="16"/>
      <c r="H31" s="17"/>
      <c r="I31" s="17"/>
      <c r="J31" s="17"/>
      <c r="K31" s="23"/>
      <c r="L31" s="23"/>
      <c r="M31" s="23"/>
      <c r="N31" s="23"/>
    </row>
    <row r="32" spans="1:15" s="13" customFormat="1" ht="13" x14ac:dyDescent="0.3">
      <c r="A32" s="20">
        <v>0</v>
      </c>
      <c r="B32" s="20">
        <v>2</v>
      </c>
      <c r="C32" s="20" t="s">
        <v>37</v>
      </c>
      <c r="D32" s="228">
        <f>'Lung Cancer'!D32</f>
        <v>5.9</v>
      </c>
      <c r="E32" s="228">
        <f t="shared" si="4"/>
        <v>8.6180000000000007E-3</v>
      </c>
      <c r="F32" s="19"/>
      <c r="G32" s="16"/>
      <c r="H32" s="17"/>
      <c r="I32" s="17"/>
      <c r="J32" s="17"/>
      <c r="K32" s="23"/>
      <c r="L32" s="23"/>
      <c r="M32" s="23"/>
      <c r="N32" s="23"/>
    </row>
    <row r="33" spans="1:14" s="13" customFormat="1" ht="13" x14ac:dyDescent="0.3">
      <c r="A33" s="20">
        <v>0</v>
      </c>
      <c r="B33" s="20">
        <v>2</v>
      </c>
      <c r="C33" s="20" t="s">
        <v>36</v>
      </c>
      <c r="D33" s="228">
        <f>'Lung Cancer'!D33</f>
        <v>5.9</v>
      </c>
      <c r="E33" s="228">
        <f t="shared" si="4"/>
        <v>8.6180000000000007E-3</v>
      </c>
      <c r="F33" s="19"/>
      <c r="G33" s="16"/>
      <c r="H33" s="17"/>
      <c r="I33" s="17"/>
      <c r="J33" s="17"/>
      <c r="K33" s="23"/>
      <c r="L33" s="23"/>
      <c r="M33" s="23"/>
      <c r="N33" s="23"/>
    </row>
    <row r="34" spans="1:14" s="13" customFormat="1" ht="13" x14ac:dyDescent="0.3">
      <c r="A34" s="20">
        <v>0</v>
      </c>
      <c r="B34" s="20">
        <v>2</v>
      </c>
      <c r="C34" s="20" t="s">
        <v>35</v>
      </c>
      <c r="D34" s="228">
        <f>'Lung Cancer'!D34</f>
        <v>5.9</v>
      </c>
      <c r="E34" s="228">
        <f t="shared" si="4"/>
        <v>8.6180000000000007E-3</v>
      </c>
      <c r="F34" s="19"/>
      <c r="G34" s="16"/>
      <c r="H34" s="17"/>
      <c r="I34" s="17"/>
      <c r="J34" s="17"/>
      <c r="K34" s="23"/>
      <c r="L34" s="23"/>
      <c r="M34" s="23"/>
      <c r="N34" s="23"/>
    </row>
    <row r="35" spans="1:14" s="13" customFormat="1" ht="13" x14ac:dyDescent="0.3">
      <c r="A35" s="20">
        <v>0</v>
      </c>
      <c r="B35" s="20">
        <v>2</v>
      </c>
      <c r="C35" s="20" t="s">
        <v>34</v>
      </c>
      <c r="D35" s="228">
        <f>'Lung Cancer'!D35</f>
        <v>5.9</v>
      </c>
      <c r="E35" s="228">
        <f t="shared" si="4"/>
        <v>8.6180000000000007E-3</v>
      </c>
      <c r="F35" s="19"/>
      <c r="G35" s="16"/>
      <c r="H35" s="17"/>
      <c r="I35" s="17"/>
      <c r="J35" s="17"/>
      <c r="K35" s="23"/>
      <c r="L35" s="23"/>
      <c r="M35" s="23"/>
      <c r="N35" s="23"/>
    </row>
  </sheetData>
  <mergeCells count="1">
    <mergeCell ref="L1:O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5"/>
  <sheetViews>
    <sheetView zoomScale="90" zoomScaleNormal="90" zoomScalePageLayoutView="90" workbookViewId="0"/>
  </sheetViews>
  <sheetFormatPr defaultColWidth="9.1796875" defaultRowHeight="12" x14ac:dyDescent="0.3"/>
  <cols>
    <col min="1" max="1" width="5.7265625" style="257" bestFit="1" customWidth="1"/>
    <col min="2" max="2" width="4" style="257" customWidth="1"/>
    <col min="3" max="3" width="6" style="257" customWidth="1"/>
    <col min="4" max="5" width="2.1796875" style="257" bestFit="1" customWidth="1"/>
    <col min="6" max="6" width="3" style="257" bestFit="1" customWidth="1"/>
    <col min="7" max="8" width="3.1796875" style="257" bestFit="1" customWidth="1"/>
    <col min="9" max="10" width="2.1796875" style="257" bestFit="1" customWidth="1"/>
    <col min="11" max="11" width="3" style="257" bestFit="1" customWidth="1"/>
    <col min="12" max="13" width="3.1796875" style="257" bestFit="1" customWidth="1"/>
    <col min="14" max="14" width="5.453125" style="257" bestFit="1" customWidth="1"/>
    <col min="15" max="22" width="3.453125" style="257" bestFit="1" customWidth="1"/>
    <col min="23" max="24" width="4.453125" style="385" bestFit="1" customWidth="1"/>
    <col min="25" max="25" width="4.453125" style="257" bestFit="1" customWidth="1"/>
    <col min="26" max="26" width="7.7265625" style="386" customWidth="1"/>
    <col min="27" max="27" width="7.81640625" style="386" customWidth="1"/>
    <col min="28" max="32" width="4.1796875" style="257" bestFit="1" customWidth="1"/>
    <col min="33" max="37" width="5" style="257" bestFit="1" customWidth="1"/>
    <col min="38" max="42" width="5" style="386" bestFit="1" customWidth="1"/>
    <col min="43" max="43" width="7.7265625" style="385" customWidth="1"/>
    <col min="44" max="44" width="5.81640625" style="257" bestFit="1" customWidth="1"/>
    <col min="45" max="45" width="6.453125" style="257" bestFit="1" customWidth="1"/>
    <col min="46" max="46" width="7.453125" style="257" bestFit="1" customWidth="1"/>
    <col min="47" max="47" width="5.1796875" style="257" customWidth="1"/>
    <col min="48" max="48" width="5.453125" style="257" customWidth="1"/>
    <col min="49" max="49" width="4.453125" style="257" customWidth="1"/>
    <col min="50" max="50" width="6" style="257" customWidth="1"/>
    <col min="51" max="16384" width="9.1796875" style="257"/>
  </cols>
  <sheetData>
    <row r="1" spans="1:50" ht="46.5" customHeight="1" x14ac:dyDescent="0.3">
      <c r="A1" s="364"/>
      <c r="B1" s="364"/>
      <c r="C1" s="364"/>
      <c r="D1" s="1069" t="s">
        <v>56</v>
      </c>
      <c r="E1" s="1069"/>
      <c r="F1" s="1069"/>
      <c r="G1" s="1069"/>
      <c r="H1" s="1069"/>
      <c r="I1" s="1069" t="s">
        <v>55</v>
      </c>
      <c r="J1" s="1069"/>
      <c r="K1" s="1069"/>
      <c r="L1" s="1069"/>
      <c r="M1" s="1069"/>
      <c r="N1" s="365"/>
      <c r="O1" s="1069" t="s">
        <v>54</v>
      </c>
      <c r="P1" s="1069"/>
      <c r="Q1" s="1069"/>
      <c r="R1" s="1069"/>
      <c r="S1" s="1069"/>
      <c r="T1" s="1072" t="s">
        <v>52</v>
      </c>
      <c r="U1" s="1073"/>
      <c r="V1" s="1073"/>
      <c r="W1" s="1073"/>
      <c r="X1" s="1074"/>
      <c r="Y1" s="366" t="s">
        <v>74</v>
      </c>
      <c r="Z1" s="367" t="s">
        <v>73</v>
      </c>
      <c r="AA1" s="367" t="s">
        <v>132</v>
      </c>
      <c r="AB1" s="1069" t="s">
        <v>51</v>
      </c>
      <c r="AC1" s="1069"/>
      <c r="AD1" s="1069"/>
      <c r="AE1" s="1069"/>
      <c r="AF1" s="1069"/>
      <c r="AG1" s="1069" t="s">
        <v>50</v>
      </c>
      <c r="AH1" s="1069"/>
      <c r="AI1" s="1069"/>
      <c r="AJ1" s="1069"/>
      <c r="AK1" s="1069"/>
      <c r="AL1" s="1070" t="s">
        <v>49</v>
      </c>
      <c r="AM1" s="1070"/>
      <c r="AN1" s="1070"/>
      <c r="AO1" s="1070"/>
      <c r="AP1" s="1070"/>
      <c r="AQ1" s="1071" t="s">
        <v>48</v>
      </c>
      <c r="AR1" s="1071"/>
      <c r="AS1" s="1071"/>
      <c r="AT1" s="1071"/>
      <c r="AU1" s="1080"/>
      <c r="AV1" s="1080"/>
      <c r="AW1" s="1080"/>
      <c r="AX1" s="1080"/>
    </row>
    <row r="2" spans="1:50" s="371" customFormat="1" ht="37.5" customHeight="1" x14ac:dyDescent="0.3">
      <c r="A2" s="365" t="s">
        <v>47</v>
      </c>
      <c r="B2" s="365" t="s">
        <v>46</v>
      </c>
      <c r="C2" s="365" t="s">
        <v>45</v>
      </c>
      <c r="D2" s="365">
        <v>1</v>
      </c>
      <c r="E2" s="365">
        <v>2</v>
      </c>
      <c r="F2" s="365">
        <v>3</v>
      </c>
      <c r="G2" s="365">
        <v>4</v>
      </c>
      <c r="H2" s="365">
        <v>5</v>
      </c>
      <c r="I2" s="365">
        <v>1</v>
      </c>
      <c r="J2" s="365">
        <v>2</v>
      </c>
      <c r="K2" s="365">
        <v>3</v>
      </c>
      <c r="L2" s="365">
        <v>4</v>
      </c>
      <c r="M2" s="365">
        <v>5</v>
      </c>
      <c r="N2" s="366" t="s">
        <v>44</v>
      </c>
      <c r="O2" s="365">
        <v>1</v>
      </c>
      <c r="P2" s="365">
        <v>2</v>
      </c>
      <c r="Q2" s="365">
        <v>3</v>
      </c>
      <c r="R2" s="365">
        <v>4</v>
      </c>
      <c r="S2" s="365">
        <v>5</v>
      </c>
      <c r="T2" s="365">
        <v>1</v>
      </c>
      <c r="U2" s="365">
        <v>2</v>
      </c>
      <c r="V2" s="365">
        <v>3</v>
      </c>
      <c r="W2" s="365">
        <v>4</v>
      </c>
      <c r="X2" s="365">
        <v>5</v>
      </c>
      <c r="Y2" s="365"/>
      <c r="Z2" s="367"/>
      <c r="AA2" s="367"/>
      <c r="AB2" s="365">
        <v>1</v>
      </c>
      <c r="AC2" s="365">
        <v>2</v>
      </c>
      <c r="AD2" s="365">
        <v>3</v>
      </c>
      <c r="AE2" s="365">
        <v>4</v>
      </c>
      <c r="AF2" s="365">
        <v>5</v>
      </c>
      <c r="AG2" s="365">
        <v>1</v>
      </c>
      <c r="AH2" s="365">
        <v>2</v>
      </c>
      <c r="AI2" s="365">
        <v>3</v>
      </c>
      <c r="AJ2" s="365">
        <v>4</v>
      </c>
      <c r="AK2" s="365">
        <v>5</v>
      </c>
      <c r="AL2" s="368">
        <v>1</v>
      </c>
      <c r="AM2" s="368">
        <v>2</v>
      </c>
      <c r="AN2" s="368">
        <v>3</v>
      </c>
      <c r="AO2" s="368">
        <v>4</v>
      </c>
      <c r="AP2" s="368">
        <v>5</v>
      </c>
      <c r="AQ2" s="369" t="s">
        <v>43</v>
      </c>
      <c r="AR2" s="366" t="s">
        <v>42</v>
      </c>
      <c r="AS2" s="366" t="s">
        <v>41</v>
      </c>
      <c r="AT2" s="366" t="s">
        <v>28</v>
      </c>
      <c r="AU2" s="370"/>
      <c r="AV2" s="370"/>
      <c r="AW2" s="370"/>
      <c r="AX2" s="370"/>
    </row>
    <row r="3" spans="1:50" x14ac:dyDescent="0.3">
      <c r="A3" s="364">
        <v>1</v>
      </c>
      <c r="B3" s="364">
        <v>1</v>
      </c>
      <c r="C3" s="364" t="s">
        <v>2</v>
      </c>
      <c r="D3" s="372"/>
      <c r="E3" s="372"/>
      <c r="F3" s="372"/>
      <c r="G3" s="372"/>
      <c r="H3" s="372"/>
      <c r="I3" s="372"/>
      <c r="J3" s="372"/>
      <c r="K3" s="372"/>
      <c r="L3" s="372"/>
      <c r="M3" s="372"/>
      <c r="N3" s="373"/>
      <c r="O3" s="373"/>
      <c r="P3" s="373"/>
      <c r="Q3" s="373"/>
      <c r="R3" s="373"/>
      <c r="S3" s="373"/>
      <c r="T3" s="374"/>
      <c r="U3" s="374"/>
      <c r="V3" s="374"/>
      <c r="W3" s="375"/>
      <c r="X3" s="375"/>
      <c r="Y3" s="374"/>
      <c r="Z3" s="376"/>
      <c r="AA3" s="377">
        <f>'Inflammatory HD'!F3</f>
        <v>1</v>
      </c>
      <c r="AB3" s="373"/>
      <c r="AC3" s="374"/>
      <c r="AD3" s="374"/>
      <c r="AE3" s="374"/>
      <c r="AF3" s="374"/>
      <c r="AG3" s="373"/>
      <c r="AH3" s="374"/>
      <c r="AI3" s="374"/>
      <c r="AJ3" s="374"/>
      <c r="AK3" s="374"/>
      <c r="AL3" s="372"/>
      <c r="AM3" s="376"/>
      <c r="AN3" s="376"/>
      <c r="AO3" s="376"/>
      <c r="AP3" s="376"/>
      <c r="AQ3" s="372"/>
      <c r="AR3" s="372"/>
      <c r="AS3" s="372"/>
      <c r="AT3" s="372"/>
      <c r="AU3" s="378"/>
      <c r="AV3" s="378"/>
      <c r="AW3" s="378"/>
      <c r="AX3" s="378"/>
    </row>
    <row r="4" spans="1:50" x14ac:dyDescent="0.3">
      <c r="A4" s="364">
        <v>1</v>
      </c>
      <c r="B4" s="364">
        <v>1</v>
      </c>
      <c r="C4" s="364" t="s">
        <v>40</v>
      </c>
      <c r="D4" s="372"/>
      <c r="E4" s="372"/>
      <c r="F4" s="372"/>
      <c r="G4" s="372"/>
      <c r="H4" s="372"/>
      <c r="I4" s="372"/>
      <c r="J4" s="372"/>
      <c r="K4" s="372"/>
      <c r="L4" s="372"/>
      <c r="M4" s="372"/>
      <c r="N4" s="373"/>
      <c r="O4" s="373"/>
      <c r="P4" s="373"/>
      <c r="Q4" s="373"/>
      <c r="R4" s="373"/>
      <c r="S4" s="373"/>
      <c r="T4" s="374"/>
      <c r="U4" s="374"/>
      <c r="V4" s="374"/>
      <c r="W4" s="375"/>
      <c r="X4" s="375"/>
      <c r="Y4" s="374"/>
      <c r="Z4" s="376"/>
      <c r="AA4" s="379">
        <f>'Inflammatory HD'!F4</f>
        <v>1</v>
      </c>
      <c r="AB4" s="373"/>
      <c r="AC4" s="374"/>
      <c r="AD4" s="374"/>
      <c r="AE4" s="374"/>
      <c r="AF4" s="374"/>
      <c r="AG4" s="373"/>
      <c r="AH4" s="374"/>
      <c r="AI4" s="374"/>
      <c r="AJ4" s="374"/>
      <c r="AK4" s="374"/>
      <c r="AL4" s="372"/>
      <c r="AM4" s="376"/>
      <c r="AN4" s="376"/>
      <c r="AO4" s="376"/>
      <c r="AP4" s="376"/>
      <c r="AQ4" s="372"/>
      <c r="AR4" s="372"/>
      <c r="AS4" s="372"/>
      <c r="AT4" s="372"/>
      <c r="AU4" s="378"/>
      <c r="AV4" s="378"/>
      <c r="AW4" s="378"/>
      <c r="AX4" s="378"/>
    </row>
    <row r="5" spans="1:50" x14ac:dyDescent="0.3">
      <c r="A5" s="364">
        <v>1</v>
      </c>
      <c r="B5" s="364">
        <v>1</v>
      </c>
      <c r="C5" s="364" t="s">
        <v>39</v>
      </c>
      <c r="D5" s="372">
        <f>Scenario!AN21</f>
        <v>0.37339203160199785</v>
      </c>
      <c r="E5" s="372">
        <f>Scenario!AO21</f>
        <v>0.89041070258950428</v>
      </c>
      <c r="F5" s="372">
        <f>Scenario!AP21</f>
        <v>1.6255263073807924</v>
      </c>
      <c r="G5" s="372">
        <f>Scenario!AQ21</f>
        <v>2.9675471872727468</v>
      </c>
      <c r="H5" s="372">
        <f>Scenario!AR21</f>
        <v>7.0765724824131357</v>
      </c>
      <c r="I5" s="372">
        <f t="shared" ref="I5:I10" si="0">IF(D5&gt;2.5,D5,0.1)</f>
        <v>0.1</v>
      </c>
      <c r="J5" s="372">
        <f t="shared" ref="J5:M18" si="1">IF(E5&gt;2.5,E5,0.1)</f>
        <v>0.1</v>
      </c>
      <c r="K5" s="372">
        <f t="shared" si="1"/>
        <v>0.1</v>
      </c>
      <c r="L5" s="372">
        <f t="shared" si="1"/>
        <v>2.9675471872727468</v>
      </c>
      <c r="M5" s="372">
        <f t="shared" si="1"/>
        <v>7.0765724824131357</v>
      </c>
      <c r="N5" s="380">
        <f>'Phy activity RRs'!$G$4</f>
        <v>0.93831941951583364</v>
      </c>
      <c r="O5" s="373">
        <f>IF(('user page'!$R$36=0),$N5^(I5^0.25),IF(('user page'!$R$36=1),$N5^(I5^0.5),IF(('user page'!$R$36=2),$N5^(I5^0.375),IF(('user page'!$R$36=4),$N5^(I5),IF(('user page'!$R$36=3),$N5^(LN(1+I5)),"")))))</f>
        <v>0.98006871247951299</v>
      </c>
      <c r="P5" s="373">
        <f>IF(('user page'!$R$36=0),$N5^(J5^0.25),IF(('user page'!$R$36=1),$N5^(J5^0.5),IF(('user page'!$R$36=2),$N5^(J5^0.375),IF(('user page'!$R$36=4),$N5^(J5),IF(('user page'!$R$36=3),$N5^(LN(1+J5)),"")))))</f>
        <v>0.98006871247951299</v>
      </c>
      <c r="Q5" s="373">
        <f>IF(('user page'!$R$36=0),$N5^(K5^0.25),IF(('user page'!$R$36=1),$N5^(K5^0.5),IF(('user page'!$R$36=2),$N5^(K5^0.375),IF(('user page'!$R$36=4),$N5^(K5),IF(('user page'!$R$36=3),$N5^(LN(1+K5)),"")))))</f>
        <v>0.98006871247951299</v>
      </c>
      <c r="R5" s="373">
        <f>IF(('user page'!$R$36=0),$N5^(L5^0.25),IF(('user page'!$R$36=1),$N5^(L5^0.5),IF(('user page'!$R$36=2),$N5^(L5^0.375),IF(('user page'!$R$36=4),$N5^(L5),IF(('user page'!$R$36=3),$N5^(LN(1+L5)),"")))))</f>
        <v>0.89612738109796275</v>
      </c>
      <c r="S5" s="373">
        <f>IF(('user page'!$R$36=0),$N5^(M5^0.25),IF(('user page'!$R$36=1),$N5^(M5^0.5),IF(('user page'!$R$36=2),$N5^(M5^0.375),IF(('user page'!$R$36=4),$N5^(M5),IF(('user page'!$R$36=3),$N5^(LN(1+M5)),"")))))</f>
        <v>0.84420480593211289</v>
      </c>
      <c r="T5" s="374">
        <f t="shared" ref="T5:X10" si="2">O5/$O5</f>
        <v>1</v>
      </c>
      <c r="U5" s="374">
        <f t="shared" si="2"/>
        <v>1</v>
      </c>
      <c r="V5" s="374">
        <f t="shared" si="2"/>
        <v>1</v>
      </c>
      <c r="W5" s="375">
        <f t="shared" si="2"/>
        <v>0.91435158544222483</v>
      </c>
      <c r="X5" s="375">
        <f t="shared" si="2"/>
        <v>0.86137308046119254</v>
      </c>
      <c r="Y5" s="379">
        <f>1-Z5</f>
        <v>-1.2624560306744304E-3</v>
      </c>
      <c r="Z5" s="381">
        <f t="shared" ref="Z5:Z10" si="3">SUM(O5:S5)/SUM(O22:S22)</f>
        <v>1.0012624560306744</v>
      </c>
      <c r="AA5" s="381">
        <v>1</v>
      </c>
      <c r="AB5" s="372">
        <f>Z5*AA5*GBDNZ!$E73/($T5+$U5+$X5+V5+W5)</f>
        <v>0.40192145552620734</v>
      </c>
      <c r="AC5" s="376">
        <f t="shared" ref="AC5:AF10" si="4">$AB5*U5</f>
        <v>0.40192145552620734</v>
      </c>
      <c r="AD5" s="376">
        <f t="shared" si="4"/>
        <v>0.40192145552620734</v>
      </c>
      <c r="AE5" s="376">
        <f t="shared" si="4"/>
        <v>0.36749752008363434</v>
      </c>
      <c r="AF5" s="376">
        <f t="shared" si="4"/>
        <v>0.34620432225005543</v>
      </c>
      <c r="AG5" s="372">
        <f>Z5*AA5*GBDNZ!$F73/($T5+$U5+$X5+V5+W5)</f>
        <v>25.171441173127885</v>
      </c>
      <c r="AH5" s="376">
        <f t="shared" ref="AH5:AK10" si="5">$AG5*U5</f>
        <v>25.171441173127885</v>
      </c>
      <c r="AI5" s="376">
        <f t="shared" si="5"/>
        <v>25.171441173127885</v>
      </c>
      <c r="AJ5" s="376">
        <f t="shared" si="5"/>
        <v>23.015547144515178</v>
      </c>
      <c r="AK5" s="376">
        <f t="shared" si="5"/>
        <v>21.682001822944862</v>
      </c>
      <c r="AL5" s="372">
        <f>Z5*GBDNZ!$G73/($T5+$U5+$X5+V5+W5)</f>
        <v>6.2903483094676895</v>
      </c>
      <c r="AM5" s="376">
        <f t="shared" ref="AM5:AP10" si="6">$AL5*U5</f>
        <v>6.2903483094676895</v>
      </c>
      <c r="AN5" s="376">
        <f t="shared" si="6"/>
        <v>6.2903483094676895</v>
      </c>
      <c r="AO5" s="376">
        <f t="shared" si="6"/>
        <v>5.7515899497456004</v>
      </c>
      <c r="AP5" s="376">
        <f t="shared" si="6"/>
        <v>5.4183367005000385</v>
      </c>
      <c r="AQ5" s="372">
        <f>AB5+AC5+AF5+AD5+AE5-AD22-AE22-AB22-AC22-AF22</f>
        <v>2.4201863123115563E-3</v>
      </c>
      <c r="AR5" s="372">
        <f>AG5+AH5+AK5+AI5+AJ5-AI22-AJ22-AH22-AK22-AG22</f>
        <v>0.15157085184369379</v>
      </c>
      <c r="AS5" s="372">
        <f>AL5+AM5+AP5-AL22+AN5+AO5-AN22-AO22-AM22-AP22</f>
        <v>3.7877586948712683E-2</v>
      </c>
      <c r="AT5" s="372">
        <f t="shared" ref="AT5:AT10" si="7">AR5+AS5</f>
        <v>0.18944843879240647</v>
      </c>
      <c r="AU5" s="378"/>
      <c r="AV5" s="378"/>
      <c r="AW5" s="378"/>
      <c r="AX5" s="378"/>
    </row>
    <row r="6" spans="1:50" x14ac:dyDescent="0.3">
      <c r="A6" s="364">
        <v>1</v>
      </c>
      <c r="B6" s="364">
        <v>1</v>
      </c>
      <c r="C6" s="364" t="s">
        <v>38</v>
      </c>
      <c r="D6" s="372">
        <f>Scenario!AN22</f>
        <v>0.24273184972454737</v>
      </c>
      <c r="E6" s="372">
        <f>Scenario!AO22</f>
        <v>0.57883141192595211</v>
      </c>
      <c r="F6" s="372">
        <f>Scenario!AP22</f>
        <v>1.0567097687478921</v>
      </c>
      <c r="G6" s="372">
        <f>Scenario!AQ22</f>
        <v>1.9291204871757561</v>
      </c>
      <c r="H6" s="372">
        <f>Scenario!AR22</f>
        <v>4.600284374029961</v>
      </c>
      <c r="I6" s="372">
        <f t="shared" si="0"/>
        <v>0.1</v>
      </c>
      <c r="J6" s="372">
        <f t="shared" si="1"/>
        <v>0.1</v>
      </c>
      <c r="K6" s="372">
        <f t="shared" si="1"/>
        <v>0.1</v>
      </c>
      <c r="L6" s="372">
        <f t="shared" si="1"/>
        <v>0.1</v>
      </c>
      <c r="M6" s="372">
        <f t="shared" si="1"/>
        <v>4.600284374029961</v>
      </c>
      <c r="N6" s="380">
        <f>'Phy activity RRs'!$G$4</f>
        <v>0.93831941951583364</v>
      </c>
      <c r="O6" s="373">
        <f>IF(('user page'!$R$36=0),$N6^(I6^0.25),IF(('user page'!$R$36=1),$N6^(I6^0.5),IF(('user page'!$R$36=2),$N6^(I6^0.375),IF(('user page'!$R$36=4),$N6^(I6),IF(('user page'!$R$36=3),$N6^(LN(1+I6)),"")))))</f>
        <v>0.98006871247951299</v>
      </c>
      <c r="P6" s="373">
        <f>IF(('user page'!$R$36=0),$N6^(J6^0.25),IF(('user page'!$R$36=1),$N6^(J6^0.5),IF(('user page'!$R$36=2),$N6^(J6^0.375),IF(('user page'!$R$36=4),$N6^(J6),IF(('user page'!$R$36=3),$N6^(LN(1+J6)),"")))))</f>
        <v>0.98006871247951299</v>
      </c>
      <c r="Q6" s="373">
        <f>IF(('user page'!$R$36=0),$N6^(K6^0.25),IF(('user page'!$R$36=1),$N6^(K6^0.5),IF(('user page'!$R$36=2),$N6^(K6^0.375),IF(('user page'!$R$36=4),$N6^(K6),IF(('user page'!$R$36=3),$N6^(LN(1+K6)),"")))))</f>
        <v>0.98006871247951299</v>
      </c>
      <c r="R6" s="373">
        <f>IF(('user page'!$R$36=0),$N6^(L6^0.25),IF(('user page'!$R$36=1),$N6^(L6^0.5),IF(('user page'!$R$36=2),$N6^(L6^0.375),IF(('user page'!$R$36=4),$N6^(L6),IF(('user page'!$R$36=3),$N6^(LN(1+L6)),"")))))</f>
        <v>0.98006871247951299</v>
      </c>
      <c r="S6" s="373">
        <f>IF(('user page'!$R$36=0),$N6^(M6^0.25),IF(('user page'!$R$36=1),$N6^(M6^0.5),IF(('user page'!$R$36=2),$N6^(M6^0.375),IF(('user page'!$R$36=4),$N6^(M6),IF(('user page'!$R$36=3),$N6^(LN(1+M6)),"")))))</f>
        <v>0.87236259346454292</v>
      </c>
      <c r="T6" s="374">
        <f t="shared" si="2"/>
        <v>1</v>
      </c>
      <c r="U6" s="374">
        <f t="shared" si="2"/>
        <v>1</v>
      </c>
      <c r="V6" s="374">
        <f t="shared" si="2"/>
        <v>1</v>
      </c>
      <c r="W6" s="375">
        <f t="shared" si="2"/>
        <v>1</v>
      </c>
      <c r="X6" s="375">
        <f t="shared" si="2"/>
        <v>0.89010350229171153</v>
      </c>
      <c r="Y6" s="379">
        <f t="shared" ref="Y6:Y18" si="8">1-Z6</f>
        <v>-3.860908991619727E-4</v>
      </c>
      <c r="Z6" s="381">
        <f t="shared" si="3"/>
        <v>1.000386090899162</v>
      </c>
      <c r="AA6" s="381">
        <f>'Inflammatory HD'!F6</f>
        <v>1</v>
      </c>
      <c r="AB6" s="372">
        <f>Z6*AA6*GBDNZ!$E74/($T6+$U6+$X6+V6+W6)</f>
        <v>2.2142223955243217</v>
      </c>
      <c r="AC6" s="376">
        <f t="shared" si="4"/>
        <v>2.2142223955243217</v>
      </c>
      <c r="AD6" s="376">
        <f t="shared" si="4"/>
        <v>2.2142223955243217</v>
      </c>
      <c r="AE6" s="376">
        <f t="shared" si="4"/>
        <v>2.2142223955243217</v>
      </c>
      <c r="AF6" s="376">
        <f t="shared" si="4"/>
        <v>1.9708871091089419</v>
      </c>
      <c r="AG6" s="372">
        <f>Z6*AA6*GBDNZ!$F74/($T6+$U6+$X6+V6+W6)</f>
        <v>105.28481974580369</v>
      </c>
      <c r="AH6" s="376">
        <f t="shared" si="5"/>
        <v>105.28481974580369</v>
      </c>
      <c r="AI6" s="376">
        <f t="shared" si="5"/>
        <v>105.28481974580369</v>
      </c>
      <c r="AJ6" s="376">
        <f t="shared" si="5"/>
        <v>105.28481974580369</v>
      </c>
      <c r="AK6" s="376">
        <f t="shared" si="5"/>
        <v>93.714386793891407</v>
      </c>
      <c r="AL6" s="372">
        <f>Z6*GBDNZ!$G74/($T6+$U6+$X6+V6+W6)</f>
        <v>19.708417636042928</v>
      </c>
      <c r="AM6" s="376">
        <f t="shared" si="6"/>
        <v>19.708417636042928</v>
      </c>
      <c r="AN6" s="376">
        <f t="shared" si="6"/>
        <v>19.708417636042928</v>
      </c>
      <c r="AO6" s="376">
        <f t="shared" si="6"/>
        <v>19.708417636042928</v>
      </c>
      <c r="AP6" s="376">
        <f t="shared" si="6"/>
        <v>17.542531562469545</v>
      </c>
      <c r="AQ6" s="372">
        <f t="shared" ref="AQ6:AQ18" si="9">AB6+AC6+AF6+AD6+AE6-AD23-AE23-AB23-AC23-AF23</f>
        <v>4.1788926062258369E-3</v>
      </c>
      <c r="AR6" s="372">
        <f t="shared" ref="AR6:AR18" si="10">AG6+AH6+AK6+AI6+AJ6-AI23-AJ23-AH23-AK23-AG23</f>
        <v>0.1987035971061033</v>
      </c>
      <c r="AS6" s="372">
        <f t="shared" ref="AS6:AS18" si="11">AL6+AM6+AP6-AL23+AN6+AO6-AN23-AO23-AM23-AP23</f>
        <v>3.7195613641248571E-2</v>
      </c>
      <c r="AT6" s="372">
        <f t="shared" si="7"/>
        <v>0.23589921074735187</v>
      </c>
      <c r="AU6" s="378"/>
      <c r="AV6" s="378"/>
      <c r="AW6" s="378"/>
      <c r="AX6" s="378"/>
    </row>
    <row r="7" spans="1:50" x14ac:dyDescent="0.3">
      <c r="A7" s="364">
        <v>1</v>
      </c>
      <c r="B7" s="364">
        <v>1</v>
      </c>
      <c r="C7" s="364" t="s">
        <v>37</v>
      </c>
      <c r="D7" s="372">
        <f>Scenario!AN23</f>
        <v>0.44101223863405448</v>
      </c>
      <c r="E7" s="372">
        <f>Scenario!AO23</f>
        <v>1.0516614818156649</v>
      </c>
      <c r="F7" s="372">
        <f>Scenario!AP23</f>
        <v>1.9199043769114967</v>
      </c>
      <c r="G7" s="372">
        <f>Scenario!AQ23</f>
        <v>3.5049613209376891</v>
      </c>
      <c r="H7" s="372">
        <f>Scenario!AR23</f>
        <v>8.3581191032263789</v>
      </c>
      <c r="I7" s="372">
        <f t="shared" si="0"/>
        <v>0.1</v>
      </c>
      <c r="J7" s="372">
        <f t="shared" si="1"/>
        <v>0.1</v>
      </c>
      <c r="K7" s="372">
        <f t="shared" si="1"/>
        <v>0.1</v>
      </c>
      <c r="L7" s="372">
        <f t="shared" si="1"/>
        <v>3.5049613209376891</v>
      </c>
      <c r="M7" s="372">
        <f t="shared" si="1"/>
        <v>8.3581191032263789</v>
      </c>
      <c r="N7" s="380">
        <f>'Phy activity RRs'!$G$4</f>
        <v>0.93831941951583364</v>
      </c>
      <c r="O7" s="373">
        <f>IF(('user page'!$R$36=0),$N7^(I7^0.25),IF(('user page'!$R$36=1),$N7^(I7^0.5),IF(('user page'!$R$36=2),$N7^(I7^0.375),IF(('user page'!$R$36=4),$N7^(I7),IF(('user page'!$R$36=3),$N7^(LN(1+I7)),"")))))</f>
        <v>0.98006871247951299</v>
      </c>
      <c r="P7" s="373">
        <f>IF(('user page'!$R$36=0),$N7^(J7^0.25),IF(('user page'!$R$36=1),$N7^(J7^0.5),IF(('user page'!$R$36=2),$N7^(J7^0.375),IF(('user page'!$R$36=4),$N7^(J7),IF(('user page'!$R$36=3),$N7^(LN(1+J7)),"")))))</f>
        <v>0.98006871247951299</v>
      </c>
      <c r="Q7" s="373">
        <f>IF(('user page'!$R$36=0),$N7^(K7^0.25),IF(('user page'!$R$36=1),$N7^(K7^0.5),IF(('user page'!$R$36=2),$N7^(K7^0.375),IF(('user page'!$R$36=4),$N7^(K7),IF(('user page'!$R$36=3),$N7^(LN(1+K7)),"")))))</f>
        <v>0.98006871247951299</v>
      </c>
      <c r="R7" s="373">
        <f>IF(('user page'!$R$36=0),$N7^(L7^0.25),IF(('user page'!$R$36=1),$N7^(L7^0.5),IF(('user page'!$R$36=2),$N7^(L7^0.375),IF(('user page'!$R$36=4),$N7^(L7),IF(('user page'!$R$36=3),$N7^(LN(1+L7)),"")))))</f>
        <v>0.8876387551870274</v>
      </c>
      <c r="S7" s="373">
        <f>IF(('user page'!$R$36=0),$N7^(M7^0.25),IF(('user page'!$R$36=1),$N7^(M7^0.5),IF(('user page'!$R$36=2),$N7^(M7^0.375),IF(('user page'!$R$36=4),$N7^(M7),IF(('user page'!$R$36=3),$N7^(LN(1+M7)),"")))))</f>
        <v>0.83188778696046084</v>
      </c>
      <c r="T7" s="374">
        <f t="shared" si="2"/>
        <v>1</v>
      </c>
      <c r="U7" s="374">
        <f t="shared" si="2"/>
        <v>1</v>
      </c>
      <c r="V7" s="374">
        <f t="shared" si="2"/>
        <v>1</v>
      </c>
      <c r="W7" s="375">
        <f t="shared" si="2"/>
        <v>0.90569032954980933</v>
      </c>
      <c r="X7" s="375">
        <f t="shared" si="2"/>
        <v>0.84880557492324837</v>
      </c>
      <c r="Y7" s="379">
        <f t="shared" si="8"/>
        <v>-2.2313846765209533E-4</v>
      </c>
      <c r="Z7" s="381">
        <f t="shared" si="3"/>
        <v>1.0002231384676521</v>
      </c>
      <c r="AA7" s="381">
        <f>'Inflammatory HD'!F7</f>
        <v>1</v>
      </c>
      <c r="AB7" s="372">
        <f>Z7*AA7*GBDNZ!$E75/($T7+$U7+$X7+V7+W7)</f>
        <v>10.897078734699805</v>
      </c>
      <c r="AC7" s="376">
        <f t="shared" si="4"/>
        <v>10.897078734699805</v>
      </c>
      <c r="AD7" s="376">
        <f t="shared" si="4"/>
        <v>10.897078734699805</v>
      </c>
      <c r="AE7" s="376">
        <f t="shared" si="4"/>
        <v>9.8693788303604855</v>
      </c>
      <c r="AF7" s="376">
        <f t="shared" si="4"/>
        <v>9.249501180390773</v>
      </c>
      <c r="AG7" s="372">
        <f>Z7*AA7*GBDNZ!$F75/($T7+$U7+$X7+V7+W7)</f>
        <v>370.51216776937076</v>
      </c>
      <c r="AH7" s="376">
        <f t="shared" si="5"/>
        <v>370.51216776937076</v>
      </c>
      <c r="AI7" s="376">
        <f t="shared" si="5"/>
        <v>370.51216776937076</v>
      </c>
      <c r="AJ7" s="376">
        <f t="shared" si="5"/>
        <v>335.56928732925564</v>
      </c>
      <c r="AK7" s="376">
        <f t="shared" si="5"/>
        <v>314.49279357953981</v>
      </c>
      <c r="AL7" s="372">
        <f>Z7*GBDNZ!$G75/($T7+$U7+$X7+V7+W7)</f>
        <v>71.881458440995189</v>
      </c>
      <c r="AM7" s="376">
        <f t="shared" si="6"/>
        <v>71.881458440995189</v>
      </c>
      <c r="AN7" s="376">
        <f t="shared" si="6"/>
        <v>71.881458440995189</v>
      </c>
      <c r="AO7" s="376">
        <f t="shared" si="6"/>
        <v>65.10234178394586</v>
      </c>
      <c r="AP7" s="376">
        <f t="shared" si="6"/>
        <v>61.013382658330507</v>
      </c>
      <c r="AQ7" s="372">
        <f t="shared" si="9"/>
        <v>1.155825085068507E-2</v>
      </c>
      <c r="AR7" s="372">
        <f t="shared" si="10"/>
        <v>0.39299271690777005</v>
      </c>
      <c r="AS7" s="372">
        <f t="shared" si="11"/>
        <v>7.6242812261931192E-2</v>
      </c>
      <c r="AT7" s="372">
        <f t="shared" si="7"/>
        <v>0.46923552916970124</v>
      </c>
      <c r="AU7" s="378"/>
      <c r="AV7" s="378"/>
      <c r="AW7" s="378"/>
      <c r="AX7" s="378"/>
    </row>
    <row r="8" spans="1:50" x14ac:dyDescent="0.3">
      <c r="A8" s="364">
        <v>1</v>
      </c>
      <c r="B8" s="364">
        <v>1</v>
      </c>
      <c r="C8" s="364" t="s">
        <v>36</v>
      </c>
      <c r="D8" s="372">
        <f>Scenario!AN24</f>
        <v>0.39571511265083242</v>
      </c>
      <c r="E8" s="372">
        <f>Scenario!AO24</f>
        <v>0.94364352117798989</v>
      </c>
      <c r="F8" s="372">
        <f>Scenario!AP24</f>
        <v>1.7227076943294906</v>
      </c>
      <c r="G8" s="372">
        <f>Scenario!AQ24</f>
        <v>3.1449607118557816</v>
      </c>
      <c r="H8" s="372">
        <f>Scenario!AR24</f>
        <v>7.4996423063595765</v>
      </c>
      <c r="I8" s="372">
        <f t="shared" si="0"/>
        <v>0.1</v>
      </c>
      <c r="J8" s="372">
        <f t="shared" si="1"/>
        <v>0.1</v>
      </c>
      <c r="K8" s="372">
        <f t="shared" si="1"/>
        <v>0.1</v>
      </c>
      <c r="L8" s="372">
        <f t="shared" si="1"/>
        <v>3.1449607118557816</v>
      </c>
      <c r="M8" s="372">
        <f t="shared" si="1"/>
        <v>7.4996423063595765</v>
      </c>
      <c r="N8" s="380">
        <f>'Phy activity RRs'!$G$4</f>
        <v>0.93831941951583364</v>
      </c>
      <c r="O8" s="373">
        <f>IF(('user page'!$R$36=0),$N8^(I8^0.25),IF(('user page'!$R$36=1),$N8^(I8^0.5),IF(('user page'!$R$36=2),$N8^(I8^0.375),IF(('user page'!$R$36=4),$N8^(I8),IF(('user page'!$R$36=3),$N8^(LN(1+I8)),"")))))</f>
        <v>0.98006871247951299</v>
      </c>
      <c r="P8" s="373">
        <f>IF(('user page'!$R$36=0),$N8^(J8^0.25),IF(('user page'!$R$36=1),$N8^(J8^0.5),IF(('user page'!$R$36=2),$N8^(J8^0.375),IF(('user page'!$R$36=4),$N8^(J8),IF(('user page'!$R$36=3),$N8^(LN(1+J8)),"")))))</f>
        <v>0.98006871247951299</v>
      </c>
      <c r="Q8" s="373">
        <f>IF(('user page'!$R$36=0),$N8^(K8^0.25),IF(('user page'!$R$36=1),$N8^(K8^0.5),IF(('user page'!$R$36=2),$N8^(K8^0.375),IF(('user page'!$R$36=4),$N8^(K8),IF(('user page'!$R$36=3),$N8^(LN(1+K8)),"")))))</f>
        <v>0.98006871247951299</v>
      </c>
      <c r="R8" s="373">
        <f>IF(('user page'!$R$36=0),$N8^(L8^0.25),IF(('user page'!$R$36=1),$N8^(L8^0.5),IF(('user page'!$R$36=2),$N8^(L8^0.375),IF(('user page'!$R$36=4),$N8^(L8),IF(('user page'!$R$36=3),$N8^(LN(1+L8)),"")))))</f>
        <v>0.89323686165556937</v>
      </c>
      <c r="S8" s="373">
        <f>IF(('user page'!$R$36=0),$N8^(M8^0.25),IF(('user page'!$R$36=1),$N8^(M8^0.5),IF(('user page'!$R$36=2),$N8^(M8^0.375),IF(('user page'!$R$36=4),$N8^(M8),IF(('user page'!$R$36=3),$N8^(LN(1+M8)),"")))))</f>
        <v>0.84000349249437722</v>
      </c>
      <c r="T8" s="374">
        <f t="shared" si="2"/>
        <v>1</v>
      </c>
      <c r="U8" s="374">
        <f t="shared" si="2"/>
        <v>1</v>
      </c>
      <c r="V8" s="374">
        <f t="shared" si="2"/>
        <v>1</v>
      </c>
      <c r="W8" s="375">
        <f t="shared" si="2"/>
        <v>0.91140228259683509</v>
      </c>
      <c r="X8" s="375">
        <f t="shared" si="2"/>
        <v>0.85708632649768046</v>
      </c>
      <c r="Y8" s="379">
        <f t="shared" si="8"/>
        <v>-1.743029296366494E-3</v>
      </c>
      <c r="Z8" s="381">
        <f t="shared" si="3"/>
        <v>1.0017430292963665</v>
      </c>
      <c r="AA8" s="381">
        <f>'Inflammatory HD'!F8</f>
        <v>1</v>
      </c>
      <c r="AB8" s="372">
        <f>Z8*AA8*GBDNZ!$E76/($T8+$U8+$X8+V8+W8)</f>
        <v>23.805312803925617</v>
      </c>
      <c r="AC8" s="376">
        <f t="shared" si="4"/>
        <v>23.805312803925617</v>
      </c>
      <c r="AD8" s="376">
        <f t="shared" si="4"/>
        <v>23.805312803925617</v>
      </c>
      <c r="AE8" s="376">
        <f t="shared" si="4"/>
        <v>21.696216427429473</v>
      </c>
      <c r="AF8" s="376">
        <f t="shared" si="4"/>
        <v>20.403208102244804</v>
      </c>
      <c r="AG8" s="372">
        <f>Z8*AA8*GBDNZ!$F76/($T8+$U8+$X8+V8+W8)</f>
        <v>555.28087264366195</v>
      </c>
      <c r="AH8" s="376">
        <f t="shared" si="5"/>
        <v>555.28087264366195</v>
      </c>
      <c r="AI8" s="376">
        <f t="shared" si="5"/>
        <v>555.28087264366195</v>
      </c>
      <c r="AJ8" s="376">
        <f t="shared" si="5"/>
        <v>506.08425480979599</v>
      </c>
      <c r="AK8" s="376">
        <f t="shared" si="5"/>
        <v>475.9236433085826</v>
      </c>
      <c r="AL8" s="372">
        <f>Z8*GBDNZ!$G76/($T8+$U8+$X8+V8+W8)</f>
        <v>95.472829544239644</v>
      </c>
      <c r="AM8" s="376">
        <f t="shared" si="6"/>
        <v>95.472829544239644</v>
      </c>
      <c r="AN8" s="376">
        <f t="shared" si="6"/>
        <v>95.472829544239644</v>
      </c>
      <c r="AO8" s="376">
        <f t="shared" si="6"/>
        <v>87.014154772598573</v>
      </c>
      <c r="AP8" s="376">
        <f t="shared" si="6"/>
        <v>81.828456754411576</v>
      </c>
      <c r="AQ8" s="372">
        <f t="shared" si="9"/>
        <v>0.19751632645112593</v>
      </c>
      <c r="AR8" s="372">
        <f t="shared" si="10"/>
        <v>4.6072504493636188</v>
      </c>
      <c r="AS8" s="372">
        <f t="shared" si="11"/>
        <v>0.79215268972902209</v>
      </c>
      <c r="AT8" s="372">
        <f t="shared" si="7"/>
        <v>5.3994031390926409</v>
      </c>
      <c r="AU8" s="378"/>
      <c r="AV8" s="378"/>
      <c r="AW8" s="378"/>
      <c r="AX8" s="378"/>
    </row>
    <row r="9" spans="1:50" x14ac:dyDescent="0.3">
      <c r="A9" s="364">
        <v>1</v>
      </c>
      <c r="B9" s="364">
        <v>1</v>
      </c>
      <c r="C9" s="364" t="s">
        <v>35</v>
      </c>
      <c r="D9" s="372">
        <f>Scenario!AN25</f>
        <v>0.48300262725816756</v>
      </c>
      <c r="E9" s="372">
        <f>Scenario!AO25</f>
        <v>1.1517940188609537</v>
      </c>
      <c r="F9" s="372">
        <f>Scenario!AP25</f>
        <v>2.1027054963483303</v>
      </c>
      <c r="G9" s="372">
        <f>Scenario!AQ25</f>
        <v>3.8386815107321977</v>
      </c>
      <c r="H9" s="372">
        <f>Scenario!AR25</f>
        <v>9.1539262000954498</v>
      </c>
      <c r="I9" s="372">
        <f t="shared" si="0"/>
        <v>0.1</v>
      </c>
      <c r="J9" s="372">
        <f t="shared" si="1"/>
        <v>0.1</v>
      </c>
      <c r="K9" s="372">
        <f t="shared" si="1"/>
        <v>0.1</v>
      </c>
      <c r="L9" s="372">
        <f t="shared" si="1"/>
        <v>3.8386815107321977</v>
      </c>
      <c r="M9" s="372">
        <f t="shared" si="1"/>
        <v>9.1539262000954498</v>
      </c>
      <c r="N9" s="380">
        <f>'Phy activity RRs'!$G$4</f>
        <v>0.93831941951583364</v>
      </c>
      <c r="O9" s="373">
        <f>IF(('user page'!$R$36=0),$N9^(I9^0.25),IF(('user page'!$R$36=1),$N9^(I9^0.5),IF(('user page'!$R$36=2),$N9^(I9^0.375),IF(('user page'!$R$36=4),$N9^(I9),IF(('user page'!$R$36=3),$N9^(LN(1+I9)),"")))))</f>
        <v>0.98006871247951299</v>
      </c>
      <c r="P9" s="373">
        <f>IF(('user page'!$R$36=0),$N9^(J9^0.25),IF(('user page'!$R$36=1),$N9^(J9^0.5),IF(('user page'!$R$36=2),$N9^(J9^0.375),IF(('user page'!$R$36=4),$N9^(J9),IF(('user page'!$R$36=3),$N9^(LN(1+J9)),"")))))</f>
        <v>0.98006871247951299</v>
      </c>
      <c r="Q9" s="373">
        <f>IF(('user page'!$R$36=0),$N9^(K9^0.25),IF(('user page'!$R$36=1),$N9^(K9^0.5),IF(('user page'!$R$36=2),$N9^(K9^0.375),IF(('user page'!$R$36=4),$N9^(K9),IF(('user page'!$R$36=3),$N9^(LN(1+K9)),"")))))</f>
        <v>0.98006871247951299</v>
      </c>
      <c r="R9" s="373">
        <f>IF(('user page'!$R$36=0),$N9^(L9^0.25),IF(('user page'!$R$36=1),$N9^(L9^0.5),IF(('user page'!$R$36=2),$N9^(L9^0.375),IF(('user page'!$R$36=4),$N9^(L9),IF(('user page'!$R$36=3),$N9^(LN(1+L9)),"")))))</f>
        <v>0.88273017000203557</v>
      </c>
      <c r="S9" s="373">
        <f>IF(('user page'!$R$36=0),$N9^(M9^0.25),IF(('user page'!$R$36=1),$N9^(M9^0.5),IF(('user page'!$R$36=2),$N9^(M9^0.375),IF(('user page'!$R$36=4),$N9^(M9),IF(('user page'!$R$36=3),$N9^(LN(1+M9)),"")))))</f>
        <v>0.82479457520918198</v>
      </c>
      <c r="T9" s="374">
        <f t="shared" si="2"/>
        <v>1</v>
      </c>
      <c r="U9" s="374">
        <f t="shared" si="2"/>
        <v>1</v>
      </c>
      <c r="V9" s="374">
        <f t="shared" si="2"/>
        <v>1</v>
      </c>
      <c r="W9" s="375">
        <f t="shared" si="2"/>
        <v>0.9006819203204468</v>
      </c>
      <c r="X9" s="375">
        <f t="shared" si="2"/>
        <v>0.84156811120161457</v>
      </c>
      <c r="Y9" s="379">
        <f t="shared" si="8"/>
        <v>-1.7486522416583217E-3</v>
      </c>
      <c r="Z9" s="381">
        <f t="shared" si="3"/>
        <v>1.0017486522416583</v>
      </c>
      <c r="AA9" s="381">
        <f>'Inflammatory HD'!F9</f>
        <v>1</v>
      </c>
      <c r="AB9" s="372">
        <f>Z9*AA9*GBDNZ!$E77/($T9+$U9+$X9+V9+W9)</f>
        <v>53.384586898802588</v>
      </c>
      <c r="AC9" s="376">
        <f t="shared" si="4"/>
        <v>53.384586898802588</v>
      </c>
      <c r="AD9" s="376">
        <f t="shared" si="4"/>
        <v>53.384586898802588</v>
      </c>
      <c r="AE9" s="376">
        <f t="shared" si="4"/>
        <v>48.082532243527282</v>
      </c>
      <c r="AF9" s="376">
        <f t="shared" si="4"/>
        <v>44.926765963703751</v>
      </c>
      <c r="AG9" s="372">
        <f>Z9*AA9*GBDNZ!$F77/($T9+$U9+$X9+V9+W9)</f>
        <v>794.54685334299131</v>
      </c>
      <c r="AH9" s="376">
        <f t="shared" si="5"/>
        <v>794.54685334299131</v>
      </c>
      <c r="AI9" s="376">
        <f t="shared" si="5"/>
        <v>794.54685334299131</v>
      </c>
      <c r="AJ9" s="376">
        <f t="shared" si="5"/>
        <v>715.63398565353384</v>
      </c>
      <c r="AK9" s="376">
        <f t="shared" si="5"/>
        <v>668.66529462904748</v>
      </c>
      <c r="AL9" s="372">
        <f>Z9*GBDNZ!$G77/($T9+$U9+$X9+V9+W9)</f>
        <v>88.336604559383034</v>
      </c>
      <c r="AM9" s="376">
        <f t="shared" si="6"/>
        <v>88.336604559383034</v>
      </c>
      <c r="AN9" s="376">
        <f t="shared" si="6"/>
        <v>88.336604559383034</v>
      </c>
      <c r="AO9" s="376">
        <f t="shared" si="6"/>
        <v>79.563182629133053</v>
      </c>
      <c r="AP9" s="376">
        <f t="shared" si="6"/>
        <v>74.341269449003917</v>
      </c>
      <c r="AQ9" s="372">
        <f t="shared" si="9"/>
        <v>0.44192138363877831</v>
      </c>
      <c r="AR9" s="372">
        <f t="shared" si="10"/>
        <v>6.5773150115555836</v>
      </c>
      <c r="AS9" s="372">
        <f t="shared" si="11"/>
        <v>0.73125665628606384</v>
      </c>
      <c r="AT9" s="372">
        <f t="shared" si="7"/>
        <v>7.3085716678416475</v>
      </c>
      <c r="AU9" s="378"/>
      <c r="AV9" s="378"/>
      <c r="AW9" s="378"/>
      <c r="AX9" s="378"/>
    </row>
    <row r="10" spans="1:50" x14ac:dyDescent="0.3">
      <c r="A10" s="364">
        <v>1</v>
      </c>
      <c r="B10" s="364">
        <v>1</v>
      </c>
      <c r="C10" s="364" t="s">
        <v>34</v>
      </c>
      <c r="D10" s="372">
        <f>Scenario!AN26</f>
        <v>0.23447740333822151</v>
      </c>
      <c r="E10" s="372">
        <f>Scenario!AO26</f>
        <v>0.55914741552463088</v>
      </c>
      <c r="F10" s="372">
        <f>Scenario!AP26</f>
        <v>1.0207748300823047</v>
      </c>
      <c r="G10" s="372">
        <f>Scenario!AQ26</f>
        <v>1.8635179646710851</v>
      </c>
      <c r="H10" s="372">
        <f>Scenario!AR26</f>
        <v>4.4438450737470596</v>
      </c>
      <c r="I10" s="372">
        <f t="shared" si="0"/>
        <v>0.1</v>
      </c>
      <c r="J10" s="372">
        <f t="shared" si="1"/>
        <v>0.1</v>
      </c>
      <c r="K10" s="372">
        <f t="shared" si="1"/>
        <v>0.1</v>
      </c>
      <c r="L10" s="372">
        <f t="shared" si="1"/>
        <v>0.1</v>
      </c>
      <c r="M10" s="372">
        <f t="shared" si="1"/>
        <v>4.4438450737470596</v>
      </c>
      <c r="N10" s="380">
        <f>'Phy activity RRs'!$G$4</f>
        <v>0.93831941951583364</v>
      </c>
      <c r="O10" s="373">
        <f>IF(('user page'!$R$36=0),$N10^(I10^0.25),IF(('user page'!$R$36=1),$N10^(I10^0.5),IF(('user page'!$R$36=2),$N10^(I10^0.375),IF(('user page'!$R$36=4),$N10^(I10),IF(('user page'!$R$36=3),$N10^(LN(1+I10)),"")))))</f>
        <v>0.98006871247951299</v>
      </c>
      <c r="P10" s="373">
        <f>IF(('user page'!$R$36=0),$N10^(J10^0.25),IF(('user page'!$R$36=1),$N10^(J10^0.5),IF(('user page'!$R$36=2),$N10^(J10^0.375),IF(('user page'!$R$36=4),$N10^(J10),IF(('user page'!$R$36=3),$N10^(LN(1+J10)),"")))))</f>
        <v>0.98006871247951299</v>
      </c>
      <c r="Q10" s="373">
        <f>IF(('user page'!$R$36=0),$N10^(K10^0.25),IF(('user page'!$R$36=1),$N10^(K10^0.5),IF(('user page'!$R$36=2),$N10^(K10^0.375),IF(('user page'!$R$36=4),$N10^(K10),IF(('user page'!$R$36=3),$N10^(LN(1+K10)),"")))))</f>
        <v>0.98006871247951299</v>
      </c>
      <c r="R10" s="373">
        <f>IF(('user page'!$R$36=0),$N10^(L10^0.25),IF(('user page'!$R$36=1),$N10^(L10^0.5),IF(('user page'!$R$36=2),$N10^(L10^0.375),IF(('user page'!$R$36=4),$N10^(L10),IF(('user page'!$R$36=3),$N10^(LN(1+L10)),"")))))</f>
        <v>0.98006871247951299</v>
      </c>
      <c r="S10" s="373">
        <f>IF(('user page'!$R$36=0),$N10^(M10^0.25),IF(('user page'!$R$36=1),$N10^(M10^0.5),IF(('user page'!$R$36=2),$N10^(M10^0.375),IF(('user page'!$R$36=4),$N10^(M10),IF(('user page'!$R$36=3),$N10^(LN(1+M10)),"")))))</f>
        <v>0.87440795059483067</v>
      </c>
      <c r="T10" s="374">
        <f t="shared" si="2"/>
        <v>1</v>
      </c>
      <c r="U10" s="374">
        <f t="shared" si="2"/>
        <v>1</v>
      </c>
      <c r="V10" s="374">
        <f t="shared" si="2"/>
        <v>1</v>
      </c>
      <c r="W10" s="375">
        <f t="shared" si="2"/>
        <v>1</v>
      </c>
      <c r="X10" s="375">
        <f t="shared" si="2"/>
        <v>0.89219045507802497</v>
      </c>
      <c r="Y10" s="379">
        <f t="shared" si="8"/>
        <v>-8.5460582873575497E-4</v>
      </c>
      <c r="Z10" s="381">
        <f t="shared" si="3"/>
        <v>1.0008546058287358</v>
      </c>
      <c r="AA10" s="381">
        <f>'Inflammatory HD'!F10</f>
        <v>1</v>
      </c>
      <c r="AB10" s="372">
        <f>Z10*AA10*GBDNZ!$E78/($T10+$U10+$X10+V10+W10)</f>
        <v>143.40039309773246</v>
      </c>
      <c r="AC10" s="376">
        <f t="shared" si="4"/>
        <v>143.40039309773246</v>
      </c>
      <c r="AD10" s="376">
        <f t="shared" si="4"/>
        <v>143.40039309773246</v>
      </c>
      <c r="AE10" s="376">
        <f t="shared" si="4"/>
        <v>143.40039309773246</v>
      </c>
      <c r="AF10" s="376">
        <f t="shared" si="4"/>
        <v>127.94046197623359</v>
      </c>
      <c r="AG10" s="372">
        <f>Z10*AA10*GBDNZ!$F78/($T10+$U10+$X10+V10+W10)</f>
        <v>936.37642503024256</v>
      </c>
      <c r="AH10" s="376">
        <f t="shared" si="5"/>
        <v>936.37642503024256</v>
      </c>
      <c r="AI10" s="376">
        <f t="shared" si="5"/>
        <v>936.37642503024256</v>
      </c>
      <c r="AJ10" s="376">
        <f t="shared" si="5"/>
        <v>936.37642503024256</v>
      </c>
      <c r="AK10" s="376">
        <f t="shared" si="5"/>
        <v>835.42610877206619</v>
      </c>
      <c r="AL10" s="372">
        <f>Z10*GBDNZ!$G78/($T10+$U10+$X10+V10+W10)</f>
        <v>61.341063561197714</v>
      </c>
      <c r="AM10" s="376">
        <f t="shared" si="6"/>
        <v>61.341063561197714</v>
      </c>
      <c r="AN10" s="376">
        <f t="shared" si="6"/>
        <v>61.341063561197714</v>
      </c>
      <c r="AO10" s="376">
        <f t="shared" si="6"/>
        <v>61.341063561197714</v>
      </c>
      <c r="AP10" s="376">
        <f t="shared" si="6"/>
        <v>54.727911413635042</v>
      </c>
      <c r="AQ10" s="372">
        <f t="shared" si="9"/>
        <v>0.59902997716355344</v>
      </c>
      <c r="AR10" s="372">
        <f t="shared" si="10"/>
        <v>3.9115481930368787</v>
      </c>
      <c r="AS10" s="372">
        <f t="shared" si="11"/>
        <v>0.25624152842588188</v>
      </c>
      <c r="AT10" s="372">
        <f t="shared" si="7"/>
        <v>4.1677897214627606</v>
      </c>
      <c r="AU10" s="378"/>
      <c r="AV10" s="378"/>
      <c r="AW10" s="378"/>
      <c r="AX10" s="378"/>
    </row>
    <row r="11" spans="1:50" x14ac:dyDescent="0.3">
      <c r="A11" s="364">
        <v>1</v>
      </c>
      <c r="B11" s="364">
        <v>2</v>
      </c>
      <c r="C11" s="364" t="s">
        <v>2</v>
      </c>
      <c r="D11" s="372"/>
      <c r="E11" s="372"/>
      <c r="F11" s="372"/>
      <c r="G11" s="372"/>
      <c r="H11" s="372"/>
      <c r="I11" s="372"/>
      <c r="J11" s="372"/>
      <c r="K11" s="372"/>
      <c r="L11" s="372"/>
      <c r="M11" s="372"/>
      <c r="N11" s="380"/>
      <c r="O11" s="373"/>
      <c r="P11" s="373"/>
      <c r="Q11" s="373"/>
      <c r="R11" s="373"/>
      <c r="S11" s="373"/>
      <c r="T11" s="374"/>
      <c r="U11" s="374"/>
      <c r="V11" s="374"/>
      <c r="W11" s="375"/>
      <c r="X11" s="375"/>
      <c r="Y11" s="379"/>
      <c r="Z11" s="381"/>
      <c r="AA11" s="377"/>
      <c r="AB11" s="372"/>
      <c r="AC11" s="376"/>
      <c r="AD11" s="376"/>
      <c r="AE11" s="376"/>
      <c r="AF11" s="376"/>
      <c r="AG11" s="372"/>
      <c r="AH11" s="376"/>
      <c r="AI11" s="376"/>
      <c r="AJ11" s="376"/>
      <c r="AK11" s="376"/>
      <c r="AL11" s="372"/>
      <c r="AM11" s="376"/>
      <c r="AN11" s="376"/>
      <c r="AO11" s="376"/>
      <c r="AP11" s="376"/>
      <c r="AQ11" s="372"/>
      <c r="AR11" s="372"/>
      <c r="AS11" s="372"/>
      <c r="AT11" s="372"/>
      <c r="AU11" s="378"/>
      <c r="AV11" s="378"/>
      <c r="AW11" s="378"/>
      <c r="AX11" s="378"/>
    </row>
    <row r="12" spans="1:50" x14ac:dyDescent="0.3">
      <c r="A12" s="364">
        <v>1</v>
      </c>
      <c r="B12" s="364">
        <v>2</v>
      </c>
      <c r="C12" s="364" t="s">
        <v>40</v>
      </c>
      <c r="D12" s="372"/>
      <c r="E12" s="372"/>
      <c r="F12" s="372"/>
      <c r="G12" s="372"/>
      <c r="H12" s="372"/>
      <c r="I12" s="372"/>
      <c r="J12" s="372"/>
      <c r="K12" s="372"/>
      <c r="L12" s="372"/>
      <c r="M12" s="372"/>
      <c r="N12" s="380"/>
      <c r="O12" s="373"/>
      <c r="P12" s="373"/>
      <c r="Q12" s="373"/>
      <c r="R12" s="373"/>
      <c r="S12" s="373"/>
      <c r="T12" s="374"/>
      <c r="U12" s="374"/>
      <c r="V12" s="374"/>
      <c r="W12" s="375"/>
      <c r="X12" s="375"/>
      <c r="Y12" s="379"/>
      <c r="Z12" s="381"/>
      <c r="AA12" s="377"/>
      <c r="AB12" s="372"/>
      <c r="AC12" s="376"/>
      <c r="AD12" s="376"/>
      <c r="AE12" s="376"/>
      <c r="AF12" s="376"/>
      <c r="AG12" s="372"/>
      <c r="AH12" s="376"/>
      <c r="AI12" s="376"/>
      <c r="AJ12" s="376"/>
      <c r="AK12" s="376"/>
      <c r="AL12" s="372"/>
      <c r="AM12" s="376"/>
      <c r="AN12" s="376"/>
      <c r="AO12" s="376"/>
      <c r="AP12" s="376"/>
      <c r="AQ12" s="372"/>
      <c r="AR12" s="372"/>
      <c r="AS12" s="372"/>
      <c r="AT12" s="372"/>
      <c r="AU12" s="378"/>
      <c r="AV12" s="378"/>
      <c r="AW12" s="378"/>
      <c r="AX12" s="378"/>
    </row>
    <row r="13" spans="1:50" x14ac:dyDescent="0.3">
      <c r="A13" s="364">
        <v>1</v>
      </c>
      <c r="B13" s="364">
        <v>2</v>
      </c>
      <c r="C13" s="364" t="s">
        <v>39</v>
      </c>
      <c r="D13" s="372">
        <f>Scenario!AN29</f>
        <v>0.36317941114117153</v>
      </c>
      <c r="E13" s="372">
        <f>Scenario!AO29</f>
        <v>0.86605713906863857</v>
      </c>
      <c r="F13" s="372">
        <f>Scenario!AP29</f>
        <v>1.5810666461632132</v>
      </c>
      <c r="G13" s="372">
        <f>Scenario!AQ29</f>
        <v>2.8863820028064824</v>
      </c>
      <c r="H13" s="372">
        <f>Scenario!AR29</f>
        <v>6.8830216221648746</v>
      </c>
      <c r="I13" s="372">
        <f t="shared" ref="I13:I18" si="12">IF(D13&gt;2.5,D13,0.1)</f>
        <v>0.1</v>
      </c>
      <c r="J13" s="372">
        <f t="shared" si="1"/>
        <v>0.1</v>
      </c>
      <c r="K13" s="372">
        <f t="shared" si="1"/>
        <v>0.1</v>
      </c>
      <c r="L13" s="372">
        <f t="shared" si="1"/>
        <v>2.8863820028064824</v>
      </c>
      <c r="M13" s="372">
        <f t="shared" si="1"/>
        <v>6.8830216221648746</v>
      </c>
      <c r="N13" s="380">
        <f>'Phy activity RRs'!$G$4</f>
        <v>0.93831941951583364</v>
      </c>
      <c r="O13" s="373">
        <f>IF(('user page'!$R$36=0),$N13^(I13^0.25),IF(('user page'!$R$36=1),$N13^(I13^0.5),IF(('user page'!$R$36=2),$N13^(I13^0.375),IF(('user page'!$R$36=4),$N13^(I13),IF(('user page'!$R$36=3),$N13^(LN(1+I13)),"")))))</f>
        <v>0.98006871247951299</v>
      </c>
      <c r="P13" s="373">
        <f>IF(('user page'!$R$36=0),$N13^(J13^0.25),IF(('user page'!$R$36=1),$N13^(J13^0.5),IF(('user page'!$R$36=2),$N13^(J13^0.375),IF(('user page'!$R$36=4),$N13^(J13),IF(('user page'!$R$36=3),$N13^(LN(1+J13)),"")))))</f>
        <v>0.98006871247951299</v>
      </c>
      <c r="Q13" s="373">
        <f>IF(('user page'!$R$36=0),$N13^(K13^0.25),IF(('user page'!$R$36=1),$N13^(K13^0.5),IF(('user page'!$R$36=2),$N13^(K13^0.375),IF(('user page'!$R$36=4),$N13^(K13),IF(('user page'!$R$36=3),$N13^(LN(1+K13)),"")))))</f>
        <v>0.98006871247951299</v>
      </c>
      <c r="R13" s="373">
        <f>IF(('user page'!$R$36=0),$N13^(L13^0.25),IF(('user page'!$R$36=1),$N13^(L13^0.5),IF(('user page'!$R$36=2),$N13^(L13^0.375),IF(('user page'!$R$36=4),$N13^(L13),IF(('user page'!$R$36=3),$N13^(LN(1+L13)),"")))))</f>
        <v>0.89748175623697668</v>
      </c>
      <c r="S13" s="373">
        <f>IF(('user page'!$R$36=0),$N13^(M13^0.25),IF(('user page'!$R$36=1),$N13^(M13^0.5),IF(('user page'!$R$36=2),$N13^(M13^0.375),IF(('user page'!$R$36=4),$N13^(M13),IF(('user page'!$R$36=3),$N13^(LN(1+M13)),"")))))</f>
        <v>0.84617590404534304</v>
      </c>
      <c r="T13" s="374">
        <f t="shared" ref="T13:X18" si="13">O13/$O13</f>
        <v>1</v>
      </c>
      <c r="U13" s="374">
        <f t="shared" si="13"/>
        <v>1</v>
      </c>
      <c r="V13" s="374">
        <f t="shared" si="13"/>
        <v>1</v>
      </c>
      <c r="W13" s="375">
        <f t="shared" si="13"/>
        <v>0.9157335039972897</v>
      </c>
      <c r="X13" s="375">
        <f t="shared" si="13"/>
        <v>0.86338426405284441</v>
      </c>
      <c r="Y13" s="379">
        <f t="shared" si="8"/>
        <v>-1.5820674173621097E-3</v>
      </c>
      <c r="Z13" s="381">
        <f t="shared" ref="Z13:Z18" si="14">SUM(O13:S13)/SUM(O30:S30)</f>
        <v>1.0015820674173621</v>
      </c>
      <c r="AA13" s="377">
        <f>'Inflammatory HD'!F13</f>
        <v>1</v>
      </c>
      <c r="AB13" s="372">
        <f>Z13*AA13*GBDNZ!$E81/($T13+$U13+$X13+V13+W13)</f>
        <v>0.40307028152492369</v>
      </c>
      <c r="AC13" s="376">
        <f t="shared" ref="AC13:AF18" si="15">$AB13*U13</f>
        <v>0.40307028152492369</v>
      </c>
      <c r="AD13" s="376">
        <f t="shared" si="15"/>
        <v>0.40307028152492369</v>
      </c>
      <c r="AE13" s="376">
        <f t="shared" si="15"/>
        <v>0.36910496125799241</v>
      </c>
      <c r="AF13" s="376">
        <f t="shared" si="15"/>
        <v>0.34800453837596906</v>
      </c>
      <c r="AG13" s="372">
        <f>Z13*AA13*GBDNZ!$F81/($T13+$U13+$X13+V13+W13)</f>
        <v>25.424242378635039</v>
      </c>
      <c r="AH13" s="376">
        <f t="shared" ref="AH13:AK18" si="16">$AG13*U13</f>
        <v>25.424242378635039</v>
      </c>
      <c r="AI13" s="376">
        <f t="shared" si="16"/>
        <v>25.424242378635039</v>
      </c>
      <c r="AJ13" s="376">
        <f t="shared" si="16"/>
        <v>23.281830559863852</v>
      </c>
      <c r="AK13" s="376">
        <f t="shared" si="16"/>
        <v>21.950890795178953</v>
      </c>
      <c r="AL13" s="372">
        <f>Z13*GBDNZ!$G81/($T13+$U13+$X13+V13+W13)</f>
        <v>4.5854721011741217</v>
      </c>
      <c r="AM13" s="376">
        <f t="shared" ref="AM13:AP18" si="17">$AL13*U13</f>
        <v>4.5854721011741217</v>
      </c>
      <c r="AN13" s="376">
        <f t="shared" si="17"/>
        <v>4.5854721011741217</v>
      </c>
      <c r="AO13" s="376">
        <f t="shared" si="17"/>
        <v>4.1990704346899932</v>
      </c>
      <c r="AP13" s="376">
        <f t="shared" si="17"/>
        <v>3.9590244554070693</v>
      </c>
      <c r="AQ13" s="372">
        <f t="shared" si="9"/>
        <v>3.0427548087322842E-3</v>
      </c>
      <c r="AR13" s="372">
        <f t="shared" si="10"/>
        <v>0.19192617094793718</v>
      </c>
      <c r="AS13" s="372">
        <f t="shared" si="11"/>
        <v>3.4615470119426561E-2</v>
      </c>
      <c r="AT13" s="372">
        <f t="shared" ref="AT13:AT18" si="18">AR13+AS13</f>
        <v>0.22654164106736374</v>
      </c>
      <c r="AU13" s="378"/>
      <c r="AV13" s="378"/>
      <c r="AW13" s="378"/>
      <c r="AX13" s="378"/>
    </row>
    <row r="14" spans="1:50" x14ac:dyDescent="0.3">
      <c r="A14" s="364">
        <v>1</v>
      </c>
      <c r="B14" s="364">
        <v>2</v>
      </c>
      <c r="C14" s="364" t="s">
        <v>38</v>
      </c>
      <c r="D14" s="372">
        <f>Scenario!AN30</f>
        <v>0.30288827772466836</v>
      </c>
      <c r="E14" s="372">
        <f>Scenario!AO30</f>
        <v>0.72228366261017962</v>
      </c>
      <c r="F14" s="372">
        <f>Scenario!AP30</f>
        <v>1.3185949939165058</v>
      </c>
      <c r="G14" s="372">
        <f>Scenario!AQ30</f>
        <v>2.4072159568145346</v>
      </c>
      <c r="H14" s="372">
        <f>Scenario!AR30</f>
        <v>5.7403765211480957</v>
      </c>
      <c r="I14" s="372">
        <f t="shared" si="12"/>
        <v>0.1</v>
      </c>
      <c r="J14" s="372">
        <f t="shared" si="1"/>
        <v>0.1</v>
      </c>
      <c r="K14" s="372">
        <f t="shared" si="1"/>
        <v>0.1</v>
      </c>
      <c r="L14" s="372">
        <f t="shared" si="1"/>
        <v>0.1</v>
      </c>
      <c r="M14" s="372">
        <f t="shared" si="1"/>
        <v>5.7403765211480957</v>
      </c>
      <c r="N14" s="380">
        <f>'Phy activity RRs'!$G$4</f>
        <v>0.93831941951583364</v>
      </c>
      <c r="O14" s="373">
        <f>IF(('user page'!$R$36=0),$N14^(I14^0.25),IF(('user page'!$R$36=1),$N14^(I14^0.5),IF(('user page'!$R$36=2),$N14^(I14^0.375),IF(('user page'!$R$36=4),$N14^(I14),IF(('user page'!$R$36=3),$N14^(LN(1+I14)),"")))))</f>
        <v>0.98006871247951299</v>
      </c>
      <c r="P14" s="373">
        <f>IF(('user page'!$R$36=0),$N14^(J14^0.25),IF(('user page'!$R$36=1),$N14^(J14^0.5),IF(('user page'!$R$36=2),$N14^(J14^0.375),IF(('user page'!$R$36=4),$N14^(J14),IF(('user page'!$R$36=3),$N14^(LN(1+J14)),"")))))</f>
        <v>0.98006871247951299</v>
      </c>
      <c r="Q14" s="373">
        <f>IF(('user page'!$R$36=0),$N14^(K14^0.25),IF(('user page'!$R$36=1),$N14^(K14^0.5),IF(('user page'!$R$36=2),$N14^(K14^0.375),IF(('user page'!$R$36=4),$N14^(K14),IF(('user page'!$R$36=3),$N14^(LN(1+K14)),"")))))</f>
        <v>0.98006871247951299</v>
      </c>
      <c r="R14" s="373">
        <f>IF(('user page'!$R$36=0),$N14^(L14^0.25),IF(('user page'!$R$36=1),$N14^(L14^0.5),IF(('user page'!$R$36=2),$N14^(L14^0.375),IF(('user page'!$R$36=4),$N14^(L14),IF(('user page'!$R$36=3),$N14^(LN(1+L14)),"")))))</f>
        <v>0.98006871247951299</v>
      </c>
      <c r="S14" s="373">
        <f>IF(('user page'!$R$36=0),$N14^(M14^0.25),IF(('user page'!$R$36=1),$N14^(M14^0.5),IF(('user page'!$R$36=2),$N14^(M14^0.375),IF(('user page'!$R$36=4),$N14^(M14),IF(('user page'!$R$36=3),$N14^(LN(1+M14)),"")))))</f>
        <v>0.85852871211591497</v>
      </c>
      <c r="T14" s="374">
        <f t="shared" si="13"/>
        <v>1</v>
      </c>
      <c r="U14" s="374">
        <f t="shared" si="13"/>
        <v>1</v>
      </c>
      <c r="V14" s="374">
        <f t="shared" si="13"/>
        <v>1</v>
      </c>
      <c r="W14" s="375">
        <f t="shared" si="13"/>
        <v>1</v>
      </c>
      <c r="X14" s="375">
        <f t="shared" si="13"/>
        <v>0.87598828651910599</v>
      </c>
      <c r="Y14" s="379">
        <f t="shared" si="8"/>
        <v>-1.7133614810808107E-2</v>
      </c>
      <c r="Z14" s="381">
        <f t="shared" si="14"/>
        <v>1.0171336148108081</v>
      </c>
      <c r="AA14" s="381">
        <f>'Inflammatory HD'!F14</f>
        <v>1</v>
      </c>
      <c r="AB14" s="372">
        <f>Z14*AA14*GBDNZ!$E82/($T14+$U14+$X14+V14+W14)</f>
        <v>2.9968262655728202</v>
      </c>
      <c r="AC14" s="376">
        <f t="shared" si="15"/>
        <v>2.9968262655728202</v>
      </c>
      <c r="AD14" s="376">
        <f t="shared" si="15"/>
        <v>2.9968262655728202</v>
      </c>
      <c r="AE14" s="376">
        <f t="shared" si="15"/>
        <v>2.9968262655728202</v>
      </c>
      <c r="AF14" s="376">
        <f t="shared" si="15"/>
        <v>2.6251847053745858</v>
      </c>
      <c r="AG14" s="372">
        <f>Z14*AA14*GBDNZ!$F82/($T14+$U14+$X14+V14+W14)</f>
        <v>142.13877351761934</v>
      </c>
      <c r="AH14" s="376">
        <f t="shared" si="16"/>
        <v>142.13877351761934</v>
      </c>
      <c r="AI14" s="376">
        <f t="shared" si="16"/>
        <v>142.13877351761934</v>
      </c>
      <c r="AJ14" s="376">
        <f t="shared" si="16"/>
        <v>142.13877351761934</v>
      </c>
      <c r="AK14" s="376">
        <f t="shared" si="16"/>
        <v>124.51190066162664</v>
      </c>
      <c r="AL14" s="372">
        <f>Z14*GBDNZ!$G82/($T14+$U14+$X14+V14+W14)</f>
        <v>17.23705821047389</v>
      </c>
      <c r="AM14" s="376">
        <f t="shared" si="17"/>
        <v>17.23705821047389</v>
      </c>
      <c r="AN14" s="376">
        <f t="shared" si="17"/>
        <v>17.23705821047389</v>
      </c>
      <c r="AO14" s="376">
        <f t="shared" si="17"/>
        <v>17.23705821047389</v>
      </c>
      <c r="AP14" s="376">
        <f t="shared" si="17"/>
        <v>15.09946108642311</v>
      </c>
      <c r="AQ14" s="372">
        <f t="shared" si="9"/>
        <v>0.24614737676586396</v>
      </c>
      <c r="AR14" s="372">
        <f t="shared" si="10"/>
        <v>11.674712892104139</v>
      </c>
      <c r="AS14" s="372">
        <f t="shared" si="11"/>
        <v>1.4157833273186764</v>
      </c>
      <c r="AT14" s="372">
        <f t="shared" si="18"/>
        <v>13.090496219422816</v>
      </c>
      <c r="AU14" s="378"/>
      <c r="AV14" s="378"/>
      <c r="AW14" s="378"/>
      <c r="AX14" s="378"/>
    </row>
    <row r="15" spans="1:50" x14ac:dyDescent="0.3">
      <c r="A15" s="364">
        <v>1</v>
      </c>
      <c r="B15" s="364">
        <v>2</v>
      </c>
      <c r="C15" s="364" t="s">
        <v>37</v>
      </c>
      <c r="D15" s="372">
        <f>Scenario!AN31</f>
        <v>0.44144644170812064</v>
      </c>
      <c r="E15" s="372">
        <f>Scenario!AO31</f>
        <v>1.0526969057977646</v>
      </c>
      <c r="F15" s="372">
        <f>Scenario!AP31</f>
        <v>1.9217946382451725</v>
      </c>
      <c r="G15" s="372">
        <f>Scenario!AQ31</f>
        <v>3.5084121661676253</v>
      </c>
      <c r="H15" s="372">
        <f>Scenario!AR31</f>
        <v>8.3663481741911028</v>
      </c>
      <c r="I15" s="372">
        <f t="shared" si="12"/>
        <v>0.1</v>
      </c>
      <c r="J15" s="372">
        <f t="shared" si="1"/>
        <v>0.1</v>
      </c>
      <c r="K15" s="372">
        <f t="shared" si="1"/>
        <v>0.1</v>
      </c>
      <c r="L15" s="372">
        <f t="shared" si="1"/>
        <v>3.5084121661676253</v>
      </c>
      <c r="M15" s="372">
        <f t="shared" si="1"/>
        <v>8.3663481741911028</v>
      </c>
      <c r="N15" s="380">
        <f>'Phy activity RRs'!$G$4</f>
        <v>0.93831941951583364</v>
      </c>
      <c r="O15" s="373">
        <f>IF(('user page'!$R$36=0),$N15^(I15^0.25),IF(('user page'!$R$36=1),$N15^(I15^0.5),IF(('user page'!$R$36=2),$N15^(I15^0.375),IF(('user page'!$R$36=4),$N15^(I15),IF(('user page'!$R$36=3),$N15^(LN(1+I15)),"")))))</f>
        <v>0.98006871247951299</v>
      </c>
      <c r="P15" s="373">
        <f>IF(('user page'!$R$36=0),$N15^(J15^0.25),IF(('user page'!$R$36=1),$N15^(J15^0.5),IF(('user page'!$R$36=2),$N15^(J15^0.375),IF(('user page'!$R$36=4),$N15^(J15),IF(('user page'!$R$36=3),$N15^(LN(1+J15)),"")))))</f>
        <v>0.98006871247951299</v>
      </c>
      <c r="Q15" s="373">
        <f>IF(('user page'!$R$36=0),$N15^(K15^0.25),IF(('user page'!$R$36=1),$N15^(K15^0.5),IF(('user page'!$R$36=2),$N15^(K15^0.375),IF(('user page'!$R$36=4),$N15^(K15),IF(('user page'!$R$36=3),$N15^(LN(1+K15)),"")))))</f>
        <v>0.98006871247951299</v>
      </c>
      <c r="R15" s="373">
        <f>IF(('user page'!$R$36=0),$N15^(L15^0.25),IF(('user page'!$R$36=1),$N15^(L15^0.5),IF(('user page'!$R$36=2),$N15^(L15^0.375),IF(('user page'!$R$36=4),$N15^(L15),IF(('user page'!$R$36=3),$N15^(LN(1+L15)),"")))))</f>
        <v>0.88758668725991674</v>
      </c>
      <c r="S15" s="373">
        <f>IF(('user page'!$R$36=0),$N15^(M15^0.25),IF(('user page'!$R$36=1),$N15^(M15^0.5),IF(('user page'!$R$36=2),$N15^(M15^0.375),IF(('user page'!$R$36=4),$N15^(M15),IF(('user page'!$R$36=3),$N15^(LN(1+M15)),"")))))</f>
        <v>0.83181243327265386</v>
      </c>
      <c r="T15" s="374">
        <f t="shared" si="13"/>
        <v>1</v>
      </c>
      <c r="U15" s="374">
        <f t="shared" si="13"/>
        <v>1</v>
      </c>
      <c r="V15" s="374">
        <f t="shared" si="13"/>
        <v>1</v>
      </c>
      <c r="W15" s="375">
        <f t="shared" si="13"/>
        <v>0.90563720273691584</v>
      </c>
      <c r="X15" s="375">
        <f t="shared" si="13"/>
        <v>0.84872868879593155</v>
      </c>
      <c r="Y15" s="379">
        <f t="shared" si="8"/>
        <v>-1.2169761662024214E-3</v>
      </c>
      <c r="Z15" s="381">
        <f t="shared" si="14"/>
        <v>1.0012169761662024</v>
      </c>
      <c r="AA15" s="381">
        <f>'Inflammatory HD'!F15</f>
        <v>1</v>
      </c>
      <c r="AB15" s="372">
        <f>Z15*AA15*GBDNZ!$E83/($T15+$U15+$X15+V15+W15)</f>
        <v>11.693572429188064</v>
      </c>
      <c r="AC15" s="376">
        <f t="shared" si="15"/>
        <v>11.693572429188064</v>
      </c>
      <c r="AD15" s="376">
        <f t="shared" si="15"/>
        <v>11.693572429188064</v>
      </c>
      <c r="AE15" s="376">
        <f t="shared" si="15"/>
        <v>10.590134224771401</v>
      </c>
      <c r="AF15" s="376">
        <f t="shared" si="15"/>
        <v>9.9246703951650428</v>
      </c>
      <c r="AG15" s="372">
        <f>Z15*AA15*GBDNZ!$F83/($T15+$U15+$X15+V15+W15)</f>
        <v>403.33744494537041</v>
      </c>
      <c r="AH15" s="376">
        <f t="shared" si="16"/>
        <v>403.33744494537041</v>
      </c>
      <c r="AI15" s="376">
        <f t="shared" si="16"/>
        <v>403.33744494537041</v>
      </c>
      <c r="AJ15" s="376">
        <f t="shared" si="16"/>
        <v>365.27739539938005</v>
      </c>
      <c r="AK15" s="376">
        <f t="shared" si="16"/>
        <v>342.32406079078544</v>
      </c>
      <c r="AL15" s="372">
        <f>Z15*GBDNZ!$G83/($T15+$U15+$X15+V15+W15)</f>
        <v>53.375749194539829</v>
      </c>
      <c r="AM15" s="376">
        <f t="shared" si="17"/>
        <v>53.375749194539829</v>
      </c>
      <c r="AN15" s="376">
        <f t="shared" si="17"/>
        <v>53.375749194539829</v>
      </c>
      <c r="AO15" s="376">
        <f t="shared" si="17"/>
        <v>48.339064194530238</v>
      </c>
      <c r="AP15" s="376">
        <f t="shared" si="17"/>
        <v>45.301529627382287</v>
      </c>
      <c r="AQ15" s="372">
        <f t="shared" si="9"/>
        <v>6.7576186500639679E-2</v>
      </c>
      <c r="AR15" s="372">
        <f t="shared" si="10"/>
        <v>2.330853686276896</v>
      </c>
      <c r="AS15" s="372">
        <f t="shared" si="11"/>
        <v>0.30845403353201561</v>
      </c>
      <c r="AT15" s="372">
        <f t="shared" si="18"/>
        <v>2.6393077198089117</v>
      </c>
      <c r="AU15" s="378"/>
      <c r="AV15" s="378"/>
      <c r="AW15" s="378"/>
      <c r="AX15" s="378"/>
    </row>
    <row r="16" spans="1:50" x14ac:dyDescent="0.3">
      <c r="A16" s="364">
        <v>1</v>
      </c>
      <c r="B16" s="364">
        <v>2</v>
      </c>
      <c r="C16" s="364" t="s">
        <v>36</v>
      </c>
      <c r="D16" s="372">
        <f>Scenario!AN32</f>
        <v>0.3316861829647314</v>
      </c>
      <c r="E16" s="372">
        <f>Scenario!AO32</f>
        <v>0.79095669488646103</v>
      </c>
      <c r="F16" s="372">
        <f>Scenario!AP32</f>
        <v>1.4439639054177522</v>
      </c>
      <c r="G16" s="372">
        <f>Scenario!AQ32</f>
        <v>2.6360883897045526</v>
      </c>
      <c r="H16" s="372">
        <f>Scenario!AR32</f>
        <v>6.2861580229616978</v>
      </c>
      <c r="I16" s="372">
        <f t="shared" si="12"/>
        <v>0.1</v>
      </c>
      <c r="J16" s="372">
        <f t="shared" si="1"/>
        <v>0.1</v>
      </c>
      <c r="K16" s="372">
        <f t="shared" si="1"/>
        <v>0.1</v>
      </c>
      <c r="L16" s="372">
        <f t="shared" si="1"/>
        <v>2.6360883897045526</v>
      </c>
      <c r="M16" s="372">
        <f t="shared" si="1"/>
        <v>6.2861580229616978</v>
      </c>
      <c r="N16" s="380">
        <f>'Phy activity RRs'!$G$4</f>
        <v>0.93831941951583364</v>
      </c>
      <c r="O16" s="373">
        <f>IF(('user page'!$R$36=0),$N16^(I16^0.25),IF(('user page'!$R$36=1),$N16^(I16^0.5),IF(('user page'!$R$36=2),$N16^(I16^0.375),IF(('user page'!$R$36=4),$N16^(I16),IF(('user page'!$R$36=3),$N16^(LN(1+I16)),"")))))</f>
        <v>0.98006871247951299</v>
      </c>
      <c r="P16" s="373">
        <f>IF(('user page'!$R$36=0),$N16^(J16^0.25),IF(('user page'!$R$36=1),$N16^(J16^0.5),IF(('user page'!$R$36=2),$N16^(J16^0.375),IF(('user page'!$R$36=4),$N16^(J16),IF(('user page'!$R$36=3),$N16^(LN(1+J16)),"")))))</f>
        <v>0.98006871247951299</v>
      </c>
      <c r="Q16" s="373">
        <f>IF(('user page'!$R$36=0),$N16^(K16^0.25),IF(('user page'!$R$36=1),$N16^(K16^0.5),IF(('user page'!$R$36=2),$N16^(K16^0.375),IF(('user page'!$R$36=4),$N16^(K16),IF(('user page'!$R$36=3),$N16^(LN(1+K16)),"")))))</f>
        <v>0.98006871247951299</v>
      </c>
      <c r="R16" s="373">
        <f>IF(('user page'!$R$36=0),$N16^(L16^0.25),IF(('user page'!$R$36=1),$N16^(L16^0.5),IF(('user page'!$R$36=2),$N16^(L16^0.375),IF(('user page'!$R$36=4),$N16^(L16),IF(('user page'!$R$36=3),$N16^(LN(1+L16)),"")))))</f>
        <v>0.90179641955294909</v>
      </c>
      <c r="S16" s="373">
        <f>IF(('user page'!$R$36=0),$N16^(M16^0.25),IF(('user page'!$R$36=1),$N16^(M16^0.5),IF(('user page'!$R$36=2),$N16^(M16^0.375),IF(('user page'!$R$36=4),$N16^(M16),IF(('user page'!$R$36=3),$N16^(LN(1+M16)),"")))))</f>
        <v>0.85246606793714386</v>
      </c>
      <c r="T16" s="374">
        <f t="shared" si="13"/>
        <v>1</v>
      </c>
      <c r="U16" s="374">
        <f t="shared" si="13"/>
        <v>1</v>
      </c>
      <c r="V16" s="374">
        <f t="shared" si="13"/>
        <v>1</v>
      </c>
      <c r="W16" s="375">
        <f t="shared" si="13"/>
        <v>0.92013591299273312</v>
      </c>
      <c r="X16" s="375">
        <f t="shared" si="13"/>
        <v>0.86980234863375816</v>
      </c>
      <c r="Y16" s="379">
        <f t="shared" si="8"/>
        <v>-1.6682904076787963E-3</v>
      </c>
      <c r="Z16" s="381">
        <f t="shared" si="14"/>
        <v>1.0016682904076788</v>
      </c>
      <c r="AA16" s="381">
        <f>'Inflammatory HD'!F16</f>
        <v>1</v>
      </c>
      <c r="AB16" s="372">
        <f>Z16*AA16*GBDNZ!$E84/($T16+$U16+$X16+V16+W16)</f>
        <v>20.112745796652824</v>
      </c>
      <c r="AC16" s="376">
        <f t="shared" si="15"/>
        <v>20.112745796652824</v>
      </c>
      <c r="AD16" s="376">
        <f t="shared" si="15"/>
        <v>20.112745796652824</v>
      </c>
      <c r="AE16" s="376">
        <f t="shared" si="15"/>
        <v>18.506459716393902</v>
      </c>
      <c r="AF16" s="376">
        <f t="shared" si="15"/>
        <v>17.494113531402373</v>
      </c>
      <c r="AG16" s="372">
        <f>Z16*AA16*GBDNZ!$F84/($T16+$U16+$X16+V16+W16)</f>
        <v>469.06010160365997</v>
      </c>
      <c r="AH16" s="376">
        <f t="shared" si="16"/>
        <v>469.06010160365997</v>
      </c>
      <c r="AI16" s="376">
        <f t="shared" si="16"/>
        <v>469.06010160365997</v>
      </c>
      <c r="AJ16" s="376">
        <f t="shared" si="16"/>
        <v>431.59904483754781</v>
      </c>
      <c r="AK16" s="376">
        <f t="shared" si="16"/>
        <v>407.98957802525268</v>
      </c>
      <c r="AL16" s="372">
        <f>Z16*GBDNZ!$G84/($T16+$U16+$X16+V16+W16)</f>
        <v>64.649640430347191</v>
      </c>
      <c r="AM16" s="376">
        <f t="shared" si="17"/>
        <v>64.649640430347191</v>
      </c>
      <c r="AN16" s="376">
        <f t="shared" si="17"/>
        <v>64.649640430347191</v>
      </c>
      <c r="AO16" s="376">
        <f t="shared" si="17"/>
        <v>59.486455922029421</v>
      </c>
      <c r="AP16" s="376">
        <f t="shared" si="17"/>
        <v>56.232409084643955</v>
      </c>
      <c r="AQ16" s="372">
        <f t="shared" si="9"/>
        <v>0.16045343075476382</v>
      </c>
      <c r="AR16" s="372">
        <f t="shared" si="10"/>
        <v>3.742020273780895</v>
      </c>
      <c r="AS16" s="372">
        <f t="shared" si="11"/>
        <v>0.5157553677149167</v>
      </c>
      <c r="AT16" s="372">
        <f t="shared" si="18"/>
        <v>4.2577756414958117</v>
      </c>
      <c r="AU16" s="378"/>
      <c r="AV16" s="378"/>
      <c r="AW16" s="378"/>
      <c r="AX16" s="378"/>
    </row>
    <row r="17" spans="1:50" x14ac:dyDescent="0.3">
      <c r="A17" s="364">
        <v>1</v>
      </c>
      <c r="B17" s="364">
        <v>2</v>
      </c>
      <c r="C17" s="364" t="s">
        <v>35</v>
      </c>
      <c r="D17" s="372">
        <f>Scenario!AN33</f>
        <v>0.28952396631326538</v>
      </c>
      <c r="E17" s="372">
        <f>Scenario!AO33</f>
        <v>0.69041440749405425</v>
      </c>
      <c r="F17" s="372">
        <f>Scenario!AP33</f>
        <v>1.2604147491853572</v>
      </c>
      <c r="G17" s="372">
        <f>Scenario!AQ33</f>
        <v>2.3010025902127014</v>
      </c>
      <c r="H17" s="372">
        <f>Scenario!AR33</f>
        <v>5.4870944198279963</v>
      </c>
      <c r="I17" s="372">
        <f t="shared" si="12"/>
        <v>0.1</v>
      </c>
      <c r="J17" s="372">
        <f t="shared" si="1"/>
        <v>0.1</v>
      </c>
      <c r="K17" s="372">
        <f t="shared" si="1"/>
        <v>0.1</v>
      </c>
      <c r="L17" s="372">
        <f t="shared" si="1"/>
        <v>0.1</v>
      </c>
      <c r="M17" s="372">
        <f t="shared" si="1"/>
        <v>5.4870944198279963</v>
      </c>
      <c r="N17" s="380">
        <f>'Phy activity RRs'!$G$4</f>
        <v>0.93831941951583364</v>
      </c>
      <c r="O17" s="373">
        <f>IF(('user page'!$R$36=0),$N17^(I17^0.25),IF(('user page'!$R$36=1),$N17^(I17^0.5),IF(('user page'!$R$36=2),$N17^(I17^0.375),IF(('user page'!$R$36=4),$N17^(I17),IF(('user page'!$R$36=3),$N17^(LN(1+I17)),"")))))</f>
        <v>0.98006871247951299</v>
      </c>
      <c r="P17" s="373">
        <f>IF(('user page'!$R$36=0),$N17^(J17^0.25),IF(('user page'!$R$36=1),$N17^(J17^0.5),IF(('user page'!$R$36=2),$N17^(J17^0.375),IF(('user page'!$R$36=4),$N17^(J17),IF(('user page'!$R$36=3),$N17^(LN(1+J17)),"")))))</f>
        <v>0.98006871247951299</v>
      </c>
      <c r="Q17" s="373">
        <f>IF(('user page'!$R$36=0),$N17^(K17^0.25),IF(('user page'!$R$36=1),$N17^(K17^0.5),IF(('user page'!$R$36=2),$N17^(K17^0.375),IF(('user page'!$R$36=4),$N17^(K17),IF(('user page'!$R$36=3),$N17^(LN(1+K17)),"")))))</f>
        <v>0.98006871247951299</v>
      </c>
      <c r="R17" s="373">
        <f>IF(('user page'!$R$36=0),$N17^(L17^0.25),IF(('user page'!$R$36=1),$N17^(L17^0.5),IF(('user page'!$R$36=2),$N17^(L17^0.375),IF(('user page'!$R$36=4),$N17^(L17),IF(('user page'!$R$36=3),$N17^(LN(1+L17)),"")))))</f>
        <v>0.98006871247951299</v>
      </c>
      <c r="S17" s="373">
        <f>IF(('user page'!$R$36=0),$N17^(M17^0.25),IF(('user page'!$R$36=1),$N17^(M17^0.5),IF(('user page'!$R$36=2),$N17^(M17^0.375),IF(('user page'!$R$36=4),$N17^(M17),IF(('user page'!$R$36=3),$N17^(LN(1+M17)),"")))))</f>
        <v>0.86145535634812798</v>
      </c>
      <c r="T17" s="374">
        <f t="shared" si="13"/>
        <v>1</v>
      </c>
      <c r="U17" s="374">
        <f t="shared" si="13"/>
        <v>1</v>
      </c>
      <c r="V17" s="374">
        <f t="shared" si="13"/>
        <v>1</v>
      </c>
      <c r="W17" s="375">
        <f t="shared" si="13"/>
        <v>1</v>
      </c>
      <c r="X17" s="375">
        <f t="shared" si="13"/>
        <v>0.87897444881053233</v>
      </c>
      <c r="Y17" s="379">
        <f t="shared" si="8"/>
        <v>-8.1836567127280269E-4</v>
      </c>
      <c r="Z17" s="381">
        <f t="shared" si="14"/>
        <v>1.0008183656712728</v>
      </c>
      <c r="AA17" s="381">
        <f>'Inflammatory HD'!F17</f>
        <v>1</v>
      </c>
      <c r="AB17" s="372">
        <f>Z17*AA17*GBDNZ!$E85/($T17+$U17+$X17+V17+W17)</f>
        <v>52.414409892498838</v>
      </c>
      <c r="AC17" s="376">
        <f t="shared" si="15"/>
        <v>52.414409892498838</v>
      </c>
      <c r="AD17" s="376">
        <f t="shared" si="15"/>
        <v>52.414409892498838</v>
      </c>
      <c r="AE17" s="376">
        <f t="shared" si="15"/>
        <v>52.414409892498838</v>
      </c>
      <c r="AF17" s="376">
        <f t="shared" si="15"/>
        <v>46.07092704498848</v>
      </c>
      <c r="AG17" s="372">
        <f>Z17*AA17*GBDNZ!$F85/($T17+$U17+$X17+V17+W17)</f>
        <v>770.8759766481096</v>
      </c>
      <c r="AH17" s="376">
        <f t="shared" si="16"/>
        <v>770.8759766481096</v>
      </c>
      <c r="AI17" s="376">
        <f t="shared" si="16"/>
        <v>770.8759766481096</v>
      </c>
      <c r="AJ17" s="376">
        <f t="shared" si="16"/>
        <v>770.8759766481096</v>
      </c>
      <c r="AK17" s="376">
        <f t="shared" si="16"/>
        <v>677.58028667555288</v>
      </c>
      <c r="AL17" s="372">
        <f>Z17*GBDNZ!$G85/($T17+$U17+$X17+V17+W17)</f>
        <v>63.279435229988309</v>
      </c>
      <c r="AM17" s="376">
        <f t="shared" si="17"/>
        <v>63.279435229988309</v>
      </c>
      <c r="AN17" s="376">
        <f t="shared" si="17"/>
        <v>63.279435229988309</v>
      </c>
      <c r="AO17" s="376">
        <f t="shared" si="17"/>
        <v>63.279435229988309</v>
      </c>
      <c r="AP17" s="376">
        <f t="shared" si="17"/>
        <v>55.621006702320756</v>
      </c>
      <c r="AQ17" s="372">
        <f t="shared" si="9"/>
        <v>0.20910835298386843</v>
      </c>
      <c r="AR17" s="372">
        <f t="shared" si="10"/>
        <v>3.0754253679916701</v>
      </c>
      <c r="AS17" s="372">
        <f t="shared" si="11"/>
        <v>0.25245459227399891</v>
      </c>
      <c r="AT17" s="372">
        <f t="shared" si="18"/>
        <v>3.327879960265669</v>
      </c>
      <c r="AU17" s="378"/>
      <c r="AV17" s="378"/>
      <c r="AW17" s="378"/>
      <c r="AX17" s="378"/>
    </row>
    <row r="18" spans="1:50" x14ac:dyDescent="0.3">
      <c r="A18" s="364">
        <v>1</v>
      </c>
      <c r="B18" s="364">
        <v>2</v>
      </c>
      <c r="C18" s="364" t="s">
        <v>34</v>
      </c>
      <c r="D18" s="372">
        <f>Scenario!AN34</f>
        <v>0.16944759244251412</v>
      </c>
      <c r="E18" s="372">
        <f>Scenario!AO34</f>
        <v>0.40407383411883097</v>
      </c>
      <c r="F18" s="372">
        <f>Scenario!AP34</f>
        <v>0.73767380106076064</v>
      </c>
      <c r="G18" s="372">
        <f>Scenario!AQ34</f>
        <v>1.346691101536166</v>
      </c>
      <c r="H18" s="372">
        <f>Scenario!AR34</f>
        <v>3.211391964486249</v>
      </c>
      <c r="I18" s="372">
        <f t="shared" si="12"/>
        <v>0.1</v>
      </c>
      <c r="J18" s="372">
        <f t="shared" si="1"/>
        <v>0.1</v>
      </c>
      <c r="K18" s="372">
        <f t="shared" si="1"/>
        <v>0.1</v>
      </c>
      <c r="L18" s="372">
        <f t="shared" si="1"/>
        <v>0.1</v>
      </c>
      <c r="M18" s="372">
        <f t="shared" si="1"/>
        <v>3.211391964486249</v>
      </c>
      <c r="N18" s="380">
        <f>'Phy activity RRs'!$G$4</f>
        <v>0.93831941951583364</v>
      </c>
      <c r="O18" s="373">
        <f>IF(('user page'!$R$36=0),$N18^(I18^0.25),IF(('user page'!$R$36=1),$N18^(I18^0.5),IF(('user page'!$R$36=2),$N18^(I18^0.375),IF(('user page'!$R$36=4),$N18^(I18),IF(('user page'!$R$36=3),$N18^(LN(1+I18)),"")))))</f>
        <v>0.98006871247951299</v>
      </c>
      <c r="P18" s="373">
        <f>IF(('user page'!$R$36=0),$N18^(J18^0.25),IF(('user page'!$R$36=1),$N18^(J18^0.5),IF(('user page'!$R$36=2),$N18^(J18^0.375),IF(('user page'!$R$36=4),$N18^(J18),IF(('user page'!$R$36=3),$N18^(LN(1+J18)),"")))))</f>
        <v>0.98006871247951299</v>
      </c>
      <c r="Q18" s="373">
        <f>IF(('user page'!$R$36=0),$N18^(K18^0.25),IF(('user page'!$R$36=1),$N18^(K18^0.5),IF(('user page'!$R$36=2),$N18^(K18^0.375),IF(('user page'!$R$36=4),$N18^(K18),IF(('user page'!$R$36=3),$N18^(LN(1+K18)),"")))))</f>
        <v>0.98006871247951299</v>
      </c>
      <c r="R18" s="373">
        <f>IF(('user page'!$R$36=0),$N18^(L18^0.25),IF(('user page'!$R$36=1),$N18^(L18^0.5),IF(('user page'!$R$36=2),$N18^(L18^0.375),IF(('user page'!$R$36=4),$N18^(L18),IF(('user page'!$R$36=3),$N18^(LN(1+L18)),"")))))</f>
        <v>0.98006871247951299</v>
      </c>
      <c r="S18" s="373">
        <f>IF(('user page'!$R$36=0),$N18^(M18^0.25),IF(('user page'!$R$36=1),$N18^(M18^0.5),IF(('user page'!$R$36=2),$N18^(M18^0.375),IF(('user page'!$R$36=4),$N18^(M18),IF(('user page'!$R$36=3),$N18^(LN(1+M18)),"")))))</f>
        <v>0.89217792929702522</v>
      </c>
      <c r="T18" s="374">
        <f t="shared" si="13"/>
        <v>1</v>
      </c>
      <c r="U18" s="374">
        <f t="shared" si="13"/>
        <v>1</v>
      </c>
      <c r="V18" s="374">
        <f t="shared" si="13"/>
        <v>1</v>
      </c>
      <c r="W18" s="375">
        <f t="shared" si="13"/>
        <v>1</v>
      </c>
      <c r="X18" s="375">
        <f t="shared" si="13"/>
        <v>0.91032181513056409</v>
      </c>
      <c r="Y18" s="379">
        <f t="shared" si="8"/>
        <v>-7.3259072966491701E-4</v>
      </c>
      <c r="Z18" s="381">
        <f t="shared" si="14"/>
        <v>1.0007325907296649</v>
      </c>
      <c r="AA18" s="381">
        <f>'Inflammatory HD'!F18</f>
        <v>1</v>
      </c>
      <c r="AB18" s="372">
        <f>Z18*AA18*GBDNZ!$E86/($T18+$U18+$X18+V18+W18)</f>
        <v>274.01516956482811</v>
      </c>
      <c r="AC18" s="376">
        <f t="shared" si="15"/>
        <v>274.01516956482811</v>
      </c>
      <c r="AD18" s="376">
        <f t="shared" si="15"/>
        <v>274.01516956482811</v>
      </c>
      <c r="AE18" s="376">
        <f t="shared" si="15"/>
        <v>274.01516956482811</v>
      </c>
      <c r="AF18" s="376">
        <f t="shared" si="15"/>
        <v>249.44198653156363</v>
      </c>
      <c r="AG18" s="372">
        <f>Z18*AA18*GBDNZ!$F86/($T18+$U18+$X18+V18+W18)</f>
        <v>1564.7528468233077</v>
      </c>
      <c r="AH18" s="376">
        <f t="shared" si="16"/>
        <v>1564.7528468233077</v>
      </c>
      <c r="AI18" s="376">
        <f t="shared" si="16"/>
        <v>1564.7528468233077</v>
      </c>
      <c r="AJ18" s="376">
        <f t="shared" si="16"/>
        <v>1564.7528468233077</v>
      </c>
      <c r="AK18" s="376">
        <f t="shared" si="16"/>
        <v>1424.4286517509111</v>
      </c>
      <c r="AL18" s="372">
        <f>Z18*GBDNZ!$G86/($T18+$U18+$X18+V18+W18)</f>
        <v>56.419440162835038</v>
      </c>
      <c r="AM18" s="376">
        <f t="shared" si="17"/>
        <v>56.419440162835038</v>
      </c>
      <c r="AN18" s="376">
        <f t="shared" si="17"/>
        <v>56.419440162835038</v>
      </c>
      <c r="AO18" s="376">
        <f t="shared" si="17"/>
        <v>56.419440162835038</v>
      </c>
      <c r="AP18" s="376">
        <f t="shared" si="17"/>
        <v>51.359847177682241</v>
      </c>
      <c r="AQ18" s="372">
        <f t="shared" si="9"/>
        <v>0.98498119087622626</v>
      </c>
      <c r="AR18" s="372">
        <f t="shared" si="10"/>
        <v>5.6246963441424214</v>
      </c>
      <c r="AS18" s="372">
        <f t="shared" si="11"/>
        <v>0.20280660902241721</v>
      </c>
      <c r="AT18" s="372">
        <f t="shared" si="18"/>
        <v>5.8275029531648386</v>
      </c>
      <c r="AU18" s="378"/>
      <c r="AV18" s="378"/>
      <c r="AW18" s="378"/>
      <c r="AX18" s="378"/>
    </row>
    <row r="19" spans="1:50" x14ac:dyDescent="0.3">
      <c r="A19" s="364"/>
      <c r="B19" s="364"/>
      <c r="C19" s="364"/>
      <c r="D19" s="372"/>
      <c r="E19" s="376"/>
      <c r="F19" s="372"/>
      <c r="G19" s="376"/>
      <c r="H19" s="372"/>
      <c r="I19" s="372"/>
      <c r="J19" s="372"/>
      <c r="K19" s="372"/>
      <c r="L19" s="372"/>
      <c r="M19" s="372"/>
      <c r="N19" s="380"/>
      <c r="O19" s="373"/>
      <c r="P19" s="373"/>
      <c r="Q19" s="373"/>
      <c r="R19" s="373"/>
      <c r="S19" s="373"/>
      <c r="T19" s="374"/>
      <c r="U19" s="374"/>
      <c r="V19" s="374"/>
      <c r="W19" s="375"/>
      <c r="X19" s="375"/>
      <c r="Y19" s="374"/>
      <c r="Z19" s="376"/>
      <c r="AA19" s="382"/>
      <c r="AB19" s="372"/>
      <c r="AC19" s="376"/>
      <c r="AD19" s="376"/>
      <c r="AE19" s="376"/>
      <c r="AF19" s="376"/>
      <c r="AG19" s="372"/>
      <c r="AH19" s="376"/>
      <c r="AI19" s="376"/>
      <c r="AJ19" s="376"/>
      <c r="AK19" s="376"/>
      <c r="AL19" s="372"/>
      <c r="AM19" s="376"/>
      <c r="AN19" s="376"/>
      <c r="AO19" s="376"/>
      <c r="AP19" s="376"/>
      <c r="AQ19" s="383">
        <f>SUM(AQ3:AQ18)</f>
        <v>2.9279343097127746</v>
      </c>
      <c r="AR19" s="383">
        <f>SUM(AR3:AR18)</f>
        <v>42.479015555057607</v>
      </c>
      <c r="AS19" s="383">
        <f>SUM(AS3:AS18)</f>
        <v>4.6608362872743117</v>
      </c>
      <c r="AT19" s="383">
        <f>SUM(AT3:AT18)</f>
        <v>47.139851842331922</v>
      </c>
      <c r="AU19" s="378"/>
      <c r="AV19" s="378"/>
      <c r="AW19" s="378"/>
      <c r="AX19" s="378"/>
    </row>
    <row r="20" spans="1:50" x14ac:dyDescent="0.3">
      <c r="A20" s="364">
        <v>0</v>
      </c>
      <c r="B20" s="364">
        <v>1</v>
      </c>
      <c r="C20" s="364" t="s">
        <v>2</v>
      </c>
      <c r="D20" s="372"/>
      <c r="E20" s="372"/>
      <c r="F20" s="372"/>
      <c r="G20" s="372"/>
      <c r="H20" s="372"/>
      <c r="I20" s="372"/>
      <c r="J20" s="372"/>
      <c r="K20" s="372"/>
      <c r="L20" s="372"/>
      <c r="M20" s="372"/>
      <c r="N20" s="380"/>
      <c r="O20" s="373"/>
      <c r="P20" s="373"/>
      <c r="Q20" s="373"/>
      <c r="R20" s="373"/>
      <c r="S20" s="373"/>
      <c r="T20" s="374"/>
      <c r="U20" s="374"/>
      <c r="V20" s="374"/>
      <c r="W20" s="375"/>
      <c r="X20" s="375"/>
      <c r="Y20" s="374"/>
      <c r="Z20" s="376"/>
      <c r="AA20" s="376"/>
      <c r="AB20" s="372"/>
      <c r="AC20" s="376"/>
      <c r="AD20" s="376"/>
      <c r="AE20" s="376"/>
      <c r="AF20" s="376"/>
      <c r="AG20" s="372"/>
      <c r="AH20" s="376"/>
      <c r="AI20" s="376"/>
      <c r="AJ20" s="376"/>
      <c r="AK20" s="376"/>
      <c r="AL20" s="372"/>
      <c r="AM20" s="376"/>
      <c r="AN20" s="376"/>
      <c r="AO20" s="376"/>
      <c r="AP20" s="376"/>
      <c r="AQ20" s="32">
        <f>AQ19/GBDNZ!E87</f>
        <v>1.0095384135412988E-3</v>
      </c>
      <c r="AR20" s="32">
        <f>AR19/GBDNZ!F87</f>
        <v>1.4239394083066645E-3</v>
      </c>
      <c r="AS20" s="32">
        <f>AS19/GBDNZ!G87</f>
        <v>1.6063327728201263E-3</v>
      </c>
      <c r="AT20" s="32">
        <f>AT19/GBDNZ!H87</f>
        <v>1.4401069464816641E-3</v>
      </c>
      <c r="AU20" s="384"/>
      <c r="AV20" s="384"/>
      <c r="AW20" s="384"/>
      <c r="AX20" s="384"/>
    </row>
    <row r="21" spans="1:50" x14ac:dyDescent="0.3">
      <c r="A21" s="364">
        <v>0</v>
      </c>
      <c r="B21" s="364">
        <v>1</v>
      </c>
      <c r="C21" s="364" t="s">
        <v>40</v>
      </c>
      <c r="D21" s="372"/>
      <c r="E21" s="372"/>
      <c r="F21" s="372"/>
      <c r="G21" s="372"/>
      <c r="H21" s="372"/>
      <c r="I21" s="372"/>
      <c r="J21" s="372"/>
      <c r="K21" s="372"/>
      <c r="L21" s="372"/>
      <c r="M21" s="372"/>
      <c r="N21" s="380"/>
      <c r="O21" s="373"/>
      <c r="P21" s="373"/>
      <c r="Q21" s="373"/>
      <c r="R21" s="373"/>
      <c r="S21" s="373"/>
      <c r="T21" s="374"/>
      <c r="U21" s="374"/>
      <c r="V21" s="374"/>
      <c r="W21" s="375"/>
      <c r="X21" s="375"/>
      <c r="Y21" s="374"/>
      <c r="Z21" s="376"/>
      <c r="AA21" s="376"/>
      <c r="AB21" s="372"/>
      <c r="AC21" s="376"/>
      <c r="AD21" s="376"/>
      <c r="AE21" s="376"/>
      <c r="AF21" s="376"/>
      <c r="AG21" s="372"/>
      <c r="AH21" s="376"/>
      <c r="AI21" s="376"/>
      <c r="AJ21" s="376"/>
      <c r="AK21" s="376"/>
      <c r="AL21" s="372"/>
      <c r="AM21" s="376"/>
      <c r="AN21" s="376"/>
      <c r="AO21" s="376"/>
      <c r="AP21" s="376"/>
      <c r="AQ21" s="373"/>
      <c r="AR21" s="373"/>
      <c r="AS21" s="373"/>
      <c r="AT21" s="373"/>
      <c r="AU21" s="384"/>
      <c r="AV21" s="384"/>
      <c r="AW21" s="384"/>
      <c r="AX21" s="384"/>
    </row>
    <row r="22" spans="1:50" x14ac:dyDescent="0.3">
      <c r="A22" s="364">
        <v>0</v>
      </c>
      <c r="B22" s="364">
        <v>1</v>
      </c>
      <c r="C22" s="364" t="s">
        <v>39</v>
      </c>
      <c r="D22" s="372">
        <f>Baseline!AN21</f>
        <v>0.39368586167290764</v>
      </c>
      <c r="E22" s="372">
        <f>Baseline!AO21</f>
        <v>0.93738511466315355</v>
      </c>
      <c r="F22" s="372">
        <f>Baseline!AP21</f>
        <v>1.7094900770477317</v>
      </c>
      <c r="G22" s="372">
        <f>Baseline!AQ21</f>
        <v>3.117562118078649</v>
      </c>
      <c r="H22" s="372">
        <f>Baseline!AR21</f>
        <v>7.4230664802300845</v>
      </c>
      <c r="I22" s="372">
        <f t="shared" ref="I22:M27" si="19">IF(D22&gt;2.5,D22,0.1)</f>
        <v>0.1</v>
      </c>
      <c r="J22" s="372">
        <f t="shared" si="19"/>
        <v>0.1</v>
      </c>
      <c r="K22" s="372">
        <f t="shared" si="19"/>
        <v>0.1</v>
      </c>
      <c r="L22" s="372">
        <f t="shared" si="19"/>
        <v>3.117562118078649</v>
      </c>
      <c r="M22" s="372">
        <f t="shared" si="19"/>
        <v>7.4230664802300845</v>
      </c>
      <c r="N22" s="380">
        <f>'Phy activity RRs'!$G$4</f>
        <v>0.93831941951583364</v>
      </c>
      <c r="O22" s="373">
        <f>IF(('user page'!$R$36=0),$N22^(I22^0.25),IF(('user page'!$R$36=1),$N22^(I22^0.5),IF(('user page'!$R$36=2),$N22^(I22^0.375),IF(('user page'!$R$36=4),$N22^(I22),IF(('user page'!$R$36=3),$N22^(LN(1+I22)),"")))))</f>
        <v>0.98006871247951299</v>
      </c>
      <c r="P22" s="373">
        <f>IF(('user page'!$R$36=0),$N22^(J22^0.25),IF(('user page'!$R$36=1),$N22^(J22^0.5),IF(('user page'!$R$36=2),$N22^(J22^0.375),IF(('user page'!$R$36=4),$N22^(J22),IF(('user page'!$R$36=3),$N22^(LN(1+J22)),"")))))</f>
        <v>0.98006871247951299</v>
      </c>
      <c r="Q22" s="373">
        <f>IF(('user page'!$R$36=0),$N22^(K22^0.25),IF(('user page'!$R$36=1),$N22^(K22^0.5),IF(('user page'!$R$36=2),$N22^(K22^0.375),IF(('user page'!$R$36=4),$N22^(K22),IF(('user page'!$R$36=3),$N22^(LN(1+K22)),"")))))</f>
        <v>0.98006871247951299</v>
      </c>
      <c r="R22" s="373">
        <f>IF(('user page'!$R$36=0),$N22^(L22^0.25),IF(('user page'!$R$36=1),$N22^(L22^0.5),IF(('user page'!$R$36=2),$N22^(L22^0.375),IF(('user page'!$R$36=4),$N22^(L22),IF(('user page'!$R$36=3),$N22^(LN(1+L22)),"")))))</f>
        <v>0.89367722694460117</v>
      </c>
      <c r="S22" s="373">
        <f>IF(('user page'!$R$36=0),$N22^(M22^0.25),IF(('user page'!$R$36=1),$N22^(M22^0.5),IF(('user page'!$R$36=2),$N22^(M22^0.375),IF(('user page'!$R$36=4),$N22^(M22),IF(('user page'!$R$36=3),$N22^(LN(1+M22)),"")))))</f>
        <v>0.84075343666477897</v>
      </c>
      <c r="T22" s="374">
        <f t="shared" ref="T22:X27" si="20">O22/$O22</f>
        <v>1</v>
      </c>
      <c r="U22" s="374">
        <f t="shared" si="20"/>
        <v>1</v>
      </c>
      <c r="V22" s="374">
        <f t="shared" si="20"/>
        <v>1</v>
      </c>
      <c r="W22" s="375">
        <f t="shared" si="20"/>
        <v>0.91185160342855276</v>
      </c>
      <c r="X22" s="375">
        <f t="shared" si="20"/>
        <v>0.85785152199964121</v>
      </c>
      <c r="Y22" s="374"/>
      <c r="Z22" s="376"/>
      <c r="AA22" s="376"/>
      <c r="AB22" s="372">
        <f>GBDNZ!E73/($T22+$U22+$X22+V22+W22)</f>
        <v>0.40192145552620739</v>
      </c>
      <c r="AC22" s="376">
        <f t="shared" ref="AC22:AF27" si="21">$AB22*U22</f>
        <v>0.40192145552620739</v>
      </c>
      <c r="AD22" s="376">
        <f t="shared" si="21"/>
        <v>0.40192145552620739</v>
      </c>
      <c r="AE22" s="376">
        <f t="shared" si="21"/>
        <v>0.36649272367390995</v>
      </c>
      <c r="AF22" s="376">
        <f t="shared" si="21"/>
        <v>0.3447889323474681</v>
      </c>
      <c r="AG22" s="372">
        <f>GBDNZ!F73/($T22+$U22+$X22+V22+W22)</f>
        <v>25.171441173127885</v>
      </c>
      <c r="AH22" s="376">
        <f t="shared" ref="AH22:AK27" si="22">$AG22*U22</f>
        <v>25.171441173127885</v>
      </c>
      <c r="AI22" s="376">
        <f t="shared" si="22"/>
        <v>25.171441173127885</v>
      </c>
      <c r="AJ22" s="376">
        <f t="shared" si="22"/>
        <v>22.952618994324155</v>
      </c>
      <c r="AK22" s="376">
        <f t="shared" si="22"/>
        <v>21.593359121292192</v>
      </c>
      <c r="AL22" s="372">
        <f>GBDNZ!G73/($T22+$U22+$X22+V22+W22)</f>
        <v>6.2903483094676904</v>
      </c>
      <c r="AM22" s="376">
        <f t="shared" ref="AM22:AP27" si="23">U22*$AL22</f>
        <v>6.2903483094676904</v>
      </c>
      <c r="AN22" s="376">
        <f t="shared" si="23"/>
        <v>6.2903483094676904</v>
      </c>
      <c r="AO22" s="376">
        <f t="shared" si="23"/>
        <v>5.7358641921121993</v>
      </c>
      <c r="AP22" s="376">
        <f t="shared" si="23"/>
        <v>5.3961848711847287</v>
      </c>
      <c r="AQ22" s="373"/>
      <c r="AR22" s="373"/>
      <c r="AS22" s="373"/>
      <c r="AT22" s="373"/>
      <c r="AU22" s="384"/>
      <c r="AV22" s="384"/>
      <c r="AW22" s="384"/>
      <c r="AX22" s="384"/>
    </row>
    <row r="23" spans="1:50" x14ac:dyDescent="0.3">
      <c r="A23" s="364">
        <v>0</v>
      </c>
      <c r="B23" s="364">
        <v>1</v>
      </c>
      <c r="C23" s="364" t="s">
        <v>38</v>
      </c>
      <c r="D23" s="372">
        <f>Baseline!AN22</f>
        <v>0.25162211131265011</v>
      </c>
      <c r="E23" s="372">
        <f>Baseline!AO22</f>
        <v>0.59912444064491777</v>
      </c>
      <c r="F23" s="372">
        <f>Baseline!AP22</f>
        <v>1.092610998594</v>
      </c>
      <c r="G23" s="372">
        <f>Baseline!AQ22</f>
        <v>1.9925723493495484</v>
      </c>
      <c r="H23" s="372">
        <f>Baseline!AR22</f>
        <v>4.7444113238730328</v>
      </c>
      <c r="I23" s="372">
        <f t="shared" si="19"/>
        <v>0.1</v>
      </c>
      <c r="J23" s="372">
        <f t="shared" si="19"/>
        <v>0.1</v>
      </c>
      <c r="K23" s="372">
        <f t="shared" si="19"/>
        <v>0.1</v>
      </c>
      <c r="L23" s="372">
        <f t="shared" si="19"/>
        <v>0.1</v>
      </c>
      <c r="M23" s="372">
        <f t="shared" si="19"/>
        <v>4.7444113238730328</v>
      </c>
      <c r="N23" s="380">
        <f>'Phy activity RRs'!$G$4</f>
        <v>0.93831941951583364</v>
      </c>
      <c r="O23" s="373">
        <f>IF(('user page'!$R$36=0),$N23^(I23^0.25),IF(('user page'!$R$36=1),$N23^(I23^0.5),IF(('user page'!$R$36=2),$N23^(I23^0.375),IF(('user page'!$R$36=4),$N23^(I23),IF(('user page'!$R$36=3),$N23^(LN(1+I23)),"")))))</f>
        <v>0.98006871247951299</v>
      </c>
      <c r="P23" s="373">
        <f>IF(('user page'!$R$36=0),$N23^(J23^0.25),IF(('user page'!$R$36=1),$N23^(J23^0.5),IF(('user page'!$R$36=2),$N23^(J23^0.375),IF(('user page'!$R$36=4),$N23^(J23),IF(('user page'!$R$36=3),$N23^(LN(1+J23)),"")))))</f>
        <v>0.98006871247951299</v>
      </c>
      <c r="Q23" s="373">
        <f>IF(('user page'!$R$36=0),$N23^(K23^0.25),IF(('user page'!$R$36=1),$N23^(K23^0.5),IF(('user page'!$R$36=2),$N23^(K23^0.375),IF(('user page'!$R$36=4),$N23^(K23),IF(('user page'!$R$36=3),$N23^(LN(1+K23)),"")))))</f>
        <v>0.98006871247951299</v>
      </c>
      <c r="R23" s="373">
        <f>IF(('user page'!$R$36=0),$N23^(L23^0.25),IF(('user page'!$R$36=1),$N23^(L23^0.5),IF(('user page'!$R$36=2),$N23^(L23^0.375),IF(('user page'!$R$36=4),$N23^(L23),IF(('user page'!$R$36=3),$N23^(LN(1+L23)),"")))))</f>
        <v>0.98006871247951299</v>
      </c>
      <c r="S23" s="373">
        <f>IF(('user page'!$R$36=0),$N23^(M23^0.25),IF(('user page'!$R$36=1),$N23^(M23^0.5),IF(('user page'!$R$36=2),$N23^(M23^0.375),IF(('user page'!$R$36=4),$N23^(M23),IF(('user page'!$R$36=3),$N23^(LN(1+M23)),"")))))</f>
        <v>0.87051291390911345</v>
      </c>
      <c r="T23" s="374">
        <f t="shared" si="20"/>
        <v>1</v>
      </c>
      <c r="U23" s="374">
        <f t="shared" si="20"/>
        <v>1</v>
      </c>
      <c r="V23" s="374">
        <f t="shared" si="20"/>
        <v>1</v>
      </c>
      <c r="W23" s="375">
        <f t="shared" si="20"/>
        <v>1</v>
      </c>
      <c r="X23" s="375">
        <f t="shared" si="20"/>
        <v>0.888216206501246</v>
      </c>
      <c r="Y23" s="374"/>
      <c r="Z23" s="376"/>
      <c r="AA23" s="376"/>
      <c r="AB23" s="372">
        <f>GBDNZ!E74/($T23+$U23+$X23+V23+W23)</f>
        <v>2.2142223955243217</v>
      </c>
      <c r="AC23" s="376">
        <f t="shared" si="21"/>
        <v>2.2142223955243217</v>
      </c>
      <c r="AD23" s="376">
        <f t="shared" si="21"/>
        <v>2.2142223955243217</v>
      </c>
      <c r="AE23" s="376">
        <f t="shared" si="21"/>
        <v>2.2142223955243217</v>
      </c>
      <c r="AF23" s="376">
        <f t="shared" si="21"/>
        <v>1.9667082165027145</v>
      </c>
      <c r="AG23" s="372">
        <f>GBDNZ!F74/($T23+$U23+$X23+V23+W23)</f>
        <v>105.28481974580369</v>
      </c>
      <c r="AH23" s="376">
        <f t="shared" si="22"/>
        <v>105.28481974580369</v>
      </c>
      <c r="AI23" s="376">
        <f t="shared" si="22"/>
        <v>105.28481974580369</v>
      </c>
      <c r="AJ23" s="376">
        <f t="shared" si="22"/>
        <v>105.28481974580369</v>
      </c>
      <c r="AK23" s="376">
        <f t="shared" si="22"/>
        <v>93.515683196785233</v>
      </c>
      <c r="AL23" s="372">
        <f>GBDNZ!G74/($T23+$U23+$X23+V23+W23)</f>
        <v>19.708417636042924</v>
      </c>
      <c r="AM23" s="376">
        <f t="shared" si="23"/>
        <v>19.708417636042924</v>
      </c>
      <c r="AN23" s="376">
        <f t="shared" si="23"/>
        <v>19.708417636042924</v>
      </c>
      <c r="AO23" s="376">
        <f t="shared" si="23"/>
        <v>19.708417636042924</v>
      </c>
      <c r="AP23" s="376">
        <f t="shared" si="23"/>
        <v>17.5053359488283</v>
      </c>
      <c r="AQ23" s="373"/>
      <c r="AR23" s="373"/>
      <c r="AS23" s="373"/>
      <c r="AT23" s="373"/>
      <c r="AU23" s="384"/>
      <c r="AV23" s="384"/>
      <c r="AW23" s="384"/>
      <c r="AX23" s="384"/>
    </row>
    <row r="24" spans="1:50" x14ac:dyDescent="0.3">
      <c r="A24" s="364">
        <v>0</v>
      </c>
      <c r="B24" s="364">
        <v>1</v>
      </c>
      <c r="C24" s="364" t="s">
        <v>37</v>
      </c>
      <c r="D24" s="372">
        <f>Baseline!AN23</f>
        <v>0.44656832716641398</v>
      </c>
      <c r="E24" s="372">
        <f>Baseline!AO23</f>
        <v>1.0633008276878868</v>
      </c>
      <c r="F24" s="372">
        <f>Baseline!AP23</f>
        <v>1.9391199896557647</v>
      </c>
      <c r="G24" s="372">
        <f>Baseline!AQ23</f>
        <v>3.5363334969455225</v>
      </c>
      <c r="H24" s="372">
        <f>Baseline!AR23</f>
        <v>8.4201814269764306</v>
      </c>
      <c r="I24" s="372">
        <f t="shared" si="19"/>
        <v>0.1</v>
      </c>
      <c r="J24" s="372">
        <f t="shared" si="19"/>
        <v>0.1</v>
      </c>
      <c r="K24" s="372">
        <f t="shared" si="19"/>
        <v>0.1</v>
      </c>
      <c r="L24" s="372">
        <f t="shared" si="19"/>
        <v>3.5363334969455225</v>
      </c>
      <c r="M24" s="372">
        <f t="shared" si="19"/>
        <v>8.4201814269764306</v>
      </c>
      <c r="N24" s="380">
        <f>'Phy activity RRs'!$G$4</f>
        <v>0.93831941951583364</v>
      </c>
      <c r="O24" s="373">
        <f>IF(('user page'!$R$36=0),$N24^(I24^0.25),IF(('user page'!$R$36=1),$N24^(I24^0.5),IF(('user page'!$R$36=2),$N24^(I24^0.375),IF(('user page'!$R$36=4),$N24^(I24),IF(('user page'!$R$36=3),$N24^(LN(1+I24)),"")))))</f>
        <v>0.98006871247951299</v>
      </c>
      <c r="P24" s="373">
        <f>IF(('user page'!$R$36=0),$N24^(J24^0.25),IF(('user page'!$R$36=1),$N24^(J24^0.5),IF(('user page'!$R$36=2),$N24^(J24^0.375),IF(('user page'!$R$36=4),$N24^(J24),IF(('user page'!$R$36=3),$N24^(LN(1+J24)),"")))))</f>
        <v>0.98006871247951299</v>
      </c>
      <c r="Q24" s="373">
        <f>IF(('user page'!$R$36=0),$N24^(K24^0.25),IF(('user page'!$R$36=1),$N24^(K24^0.5),IF(('user page'!$R$36=2),$N24^(K24^0.375),IF(('user page'!$R$36=4),$N24^(K24),IF(('user page'!$R$36=3),$N24^(LN(1+K24)),"")))))</f>
        <v>0.98006871247951299</v>
      </c>
      <c r="R24" s="373">
        <f>IF(('user page'!$R$36=0),$N24^(L24^0.25),IF(('user page'!$R$36=1),$N24^(L24^0.5),IF(('user page'!$R$36=2),$N24^(L24^0.375),IF(('user page'!$R$36=4),$N24^(L24),IF(('user page'!$R$36=3),$N24^(LN(1+L24)),"")))))</f>
        <v>0.88716644762093189</v>
      </c>
      <c r="S24" s="373">
        <f>IF(('user page'!$R$36=0),$N24^(M24^0.25),IF(('user page'!$R$36=1),$N24^(M24^0.5),IF(('user page'!$R$36=2),$N24^(M24^0.375),IF(('user page'!$R$36=4),$N24^(M24),IF(('user page'!$R$36=3),$N24^(LN(1+M24)),"")))))</f>
        <v>0.83132056087671058</v>
      </c>
      <c r="T24" s="374">
        <f t="shared" si="20"/>
        <v>1</v>
      </c>
      <c r="U24" s="374">
        <f t="shared" si="20"/>
        <v>1</v>
      </c>
      <c r="V24" s="374">
        <f t="shared" si="20"/>
        <v>1</v>
      </c>
      <c r="W24" s="375">
        <f t="shared" si="20"/>
        <v>0.90520841684299447</v>
      </c>
      <c r="X24" s="375">
        <f t="shared" si="20"/>
        <v>0.84822681337670824</v>
      </c>
      <c r="Y24" s="374"/>
      <c r="Z24" s="376"/>
      <c r="AA24" s="376"/>
      <c r="AB24" s="372">
        <f>GBDNZ!E75/($T24+$U24+$X24+V24+W24)</f>
        <v>10.897078734699805</v>
      </c>
      <c r="AC24" s="376">
        <f t="shared" si="21"/>
        <v>10.897078734699805</v>
      </c>
      <c r="AD24" s="376">
        <f t="shared" si="21"/>
        <v>10.897078734699805</v>
      </c>
      <c r="AE24" s="376">
        <f t="shared" si="21"/>
        <v>9.8641273896510722</v>
      </c>
      <c r="AF24" s="376">
        <f t="shared" si="21"/>
        <v>9.2431943702495083</v>
      </c>
      <c r="AG24" s="372">
        <f>GBDNZ!F75/($T24+$U24+$X24+V24+W24)</f>
        <v>370.51216776937082</v>
      </c>
      <c r="AH24" s="376">
        <f t="shared" si="22"/>
        <v>370.51216776937082</v>
      </c>
      <c r="AI24" s="376">
        <f t="shared" si="22"/>
        <v>370.51216776937082</v>
      </c>
      <c r="AJ24" s="376">
        <f t="shared" si="22"/>
        <v>335.3907328075781</v>
      </c>
      <c r="AK24" s="376">
        <f t="shared" si="22"/>
        <v>314.27835538430969</v>
      </c>
      <c r="AL24" s="372">
        <f>GBDNZ!G75/($T24+$U24+$X24+V24+W24)</f>
        <v>71.881458440995189</v>
      </c>
      <c r="AM24" s="376">
        <f t="shared" si="23"/>
        <v>71.881458440995189</v>
      </c>
      <c r="AN24" s="376">
        <f t="shared" si="23"/>
        <v>71.881458440995189</v>
      </c>
      <c r="AO24" s="376">
        <f t="shared" si="23"/>
        <v>65.067701195738763</v>
      </c>
      <c r="AP24" s="376">
        <f t="shared" si="23"/>
        <v>60.971780434275637</v>
      </c>
      <c r="AQ24" s="373"/>
      <c r="AR24" s="373"/>
      <c r="AS24" s="373"/>
      <c r="AT24" s="373"/>
      <c r="AU24" s="384"/>
      <c r="AV24" s="384"/>
      <c r="AW24" s="384"/>
      <c r="AX24" s="384"/>
    </row>
    <row r="25" spans="1:50" x14ac:dyDescent="0.3">
      <c r="A25" s="364">
        <v>0</v>
      </c>
      <c r="B25" s="364">
        <v>1</v>
      </c>
      <c r="C25" s="364" t="s">
        <v>36</v>
      </c>
      <c r="D25" s="372">
        <f>Baseline!AN24</f>
        <v>0.42413880257562148</v>
      </c>
      <c r="E25" s="372">
        <f>Baseline!AO24</f>
        <v>1.009895042702271</v>
      </c>
      <c r="F25" s="372">
        <f>Baseline!AP24</f>
        <v>1.8417249509873066</v>
      </c>
      <c r="G25" s="372">
        <f>Baseline!AQ24</f>
        <v>3.3587161553076208</v>
      </c>
      <c r="H25" s="372">
        <f>Baseline!AR24</f>
        <v>7.99726592919881</v>
      </c>
      <c r="I25" s="372">
        <f t="shared" si="19"/>
        <v>0.1</v>
      </c>
      <c r="J25" s="372">
        <f t="shared" si="19"/>
        <v>0.1</v>
      </c>
      <c r="K25" s="372">
        <f t="shared" si="19"/>
        <v>0.1</v>
      </c>
      <c r="L25" s="372">
        <f t="shared" si="19"/>
        <v>3.3587161553076208</v>
      </c>
      <c r="M25" s="372">
        <f t="shared" si="19"/>
        <v>7.99726592919881</v>
      </c>
      <c r="N25" s="380">
        <f>'Phy activity RRs'!$G$4</f>
        <v>0.93831941951583364</v>
      </c>
      <c r="O25" s="373">
        <f>IF(('user page'!$R$36=0),$N25^(I25^0.25),IF(('user page'!$R$36=1),$N25^(I25^0.5),IF(('user page'!$R$36=2),$N25^(I25^0.375),IF(('user page'!$R$36=4),$N25^(I25),IF(('user page'!$R$36=3),$N25^(LN(1+I25)),"")))))</f>
        <v>0.98006871247951299</v>
      </c>
      <c r="P25" s="373">
        <f>IF(('user page'!$R$36=0),$N25^(J25^0.25),IF(('user page'!$R$36=1),$N25^(J25^0.5),IF(('user page'!$R$36=2),$N25^(J25^0.375),IF(('user page'!$R$36=4),$N25^(J25),IF(('user page'!$R$36=3),$N25^(LN(1+J25)),"")))))</f>
        <v>0.98006871247951299</v>
      </c>
      <c r="Q25" s="373">
        <f>IF(('user page'!$R$36=0),$N25^(K25^0.25),IF(('user page'!$R$36=1),$N25^(K25^0.5),IF(('user page'!$R$36=2),$N25^(K25^0.375),IF(('user page'!$R$36=4),$N25^(K25),IF(('user page'!$R$36=3),$N25^(LN(1+K25)),"")))))</f>
        <v>0.98006871247951299</v>
      </c>
      <c r="R25" s="373">
        <f>IF(('user page'!$R$36=0),$N25^(L25^0.25),IF(('user page'!$R$36=1),$N25^(L25^0.5),IF(('user page'!$R$36=2),$N25^(L25^0.375),IF(('user page'!$R$36=4),$N25^(L25),IF(('user page'!$R$36=3),$N25^(LN(1+L25)),"")))))</f>
        <v>0.88987229953605174</v>
      </c>
      <c r="S25" s="373">
        <f>IF(('user page'!$R$36=0),$N25^(M25^0.25),IF(('user page'!$R$36=1),$N25^(M25^0.5),IF(('user page'!$R$36=2),$N25^(M25^0.375),IF(('user page'!$R$36=4),$N25^(M25),IF(('user page'!$R$36=3),$N25^(LN(1+M25)),"")))))</f>
        <v>0.83523627439520742</v>
      </c>
      <c r="T25" s="374">
        <f t="shared" si="20"/>
        <v>1</v>
      </c>
      <c r="U25" s="374">
        <f t="shared" si="20"/>
        <v>1</v>
      </c>
      <c r="V25" s="374">
        <f t="shared" si="20"/>
        <v>1</v>
      </c>
      <c r="W25" s="375">
        <f t="shared" si="20"/>
        <v>0.90796929664730353</v>
      </c>
      <c r="X25" s="375">
        <f t="shared" si="20"/>
        <v>0.85222215928321143</v>
      </c>
      <c r="Y25" s="374"/>
      <c r="Z25" s="376"/>
      <c r="AA25" s="376"/>
      <c r="AB25" s="372">
        <f>GBDNZ!E76/($T25+$U25+$X25+V25+W25)</f>
        <v>23.805312803925617</v>
      </c>
      <c r="AC25" s="376">
        <f t="shared" si="21"/>
        <v>23.805312803925617</v>
      </c>
      <c r="AD25" s="376">
        <f t="shared" si="21"/>
        <v>23.805312803925617</v>
      </c>
      <c r="AE25" s="376">
        <f t="shared" si="21"/>
        <v>21.614493123049392</v>
      </c>
      <c r="AF25" s="376">
        <f t="shared" si="21"/>
        <v>20.287415080173769</v>
      </c>
      <c r="AG25" s="372">
        <f>GBDNZ!F76/($T25+$U25+$X25+V25+W25)</f>
        <v>555.28087264366206</v>
      </c>
      <c r="AH25" s="376">
        <f t="shared" si="22"/>
        <v>555.28087264366206</v>
      </c>
      <c r="AI25" s="376">
        <f t="shared" si="22"/>
        <v>555.28087264366206</v>
      </c>
      <c r="AJ25" s="376">
        <f t="shared" si="22"/>
        <v>504.17798337596679</v>
      </c>
      <c r="AK25" s="376">
        <f t="shared" si="22"/>
        <v>473.22266429304761</v>
      </c>
      <c r="AL25" s="372">
        <f>GBDNZ!G76/($T25+$U25+$X25+V25+W25)</f>
        <v>95.472829544239659</v>
      </c>
      <c r="AM25" s="376">
        <f t="shared" si="23"/>
        <v>95.472829544239659</v>
      </c>
      <c r="AN25" s="376">
        <f t="shared" si="23"/>
        <v>95.472829544239659</v>
      </c>
      <c r="AO25" s="376">
        <f t="shared" si="23"/>
        <v>86.686397890211182</v>
      </c>
      <c r="AP25" s="376">
        <f t="shared" si="23"/>
        <v>81.364060947069902</v>
      </c>
      <c r="AQ25" s="373"/>
      <c r="AR25" s="373"/>
      <c r="AS25" s="373"/>
      <c r="AT25" s="373"/>
      <c r="AU25" s="384"/>
      <c r="AV25" s="384"/>
      <c r="AW25" s="384"/>
      <c r="AX25" s="384"/>
    </row>
    <row r="26" spans="1:50" x14ac:dyDescent="0.3">
      <c r="A26" s="364">
        <v>0</v>
      </c>
      <c r="B26" s="364">
        <v>1</v>
      </c>
      <c r="C26" s="364" t="s">
        <v>35</v>
      </c>
      <c r="D26" s="372">
        <f>Baseline!AN25</f>
        <v>0.51496682448345821</v>
      </c>
      <c r="E26" s="372">
        <f>Baseline!AO25</f>
        <v>1.2261609643914881</v>
      </c>
      <c r="F26" s="372">
        <f>Baseline!AP25</f>
        <v>2.2361246927243523</v>
      </c>
      <c r="G26" s="372">
        <f>Baseline!AQ25</f>
        <v>4.0779749042924998</v>
      </c>
      <c r="H26" s="372">
        <f>Baseline!AR25</f>
        <v>9.7098558658164578</v>
      </c>
      <c r="I26" s="372">
        <f t="shared" si="19"/>
        <v>0.1</v>
      </c>
      <c r="J26" s="372">
        <f t="shared" si="19"/>
        <v>0.1</v>
      </c>
      <c r="K26" s="372">
        <f t="shared" si="19"/>
        <v>0.1</v>
      </c>
      <c r="L26" s="372">
        <f t="shared" si="19"/>
        <v>4.0779749042924998</v>
      </c>
      <c r="M26" s="372">
        <f t="shared" si="19"/>
        <v>9.7098558658164578</v>
      </c>
      <c r="N26" s="380">
        <f>'Phy activity RRs'!$G$4</f>
        <v>0.93831941951583364</v>
      </c>
      <c r="O26" s="373">
        <f>IF(('user page'!$R$36=0),$N26^(I26^0.25),IF(('user page'!$R$36=1),$N26^(I26^0.5),IF(('user page'!$R$36=2),$N26^(I26^0.375),IF(('user page'!$R$36=4),$N26^(I26),IF(('user page'!$R$36=3),$N26^(LN(1+I26)),"")))))</f>
        <v>0.98006871247951299</v>
      </c>
      <c r="P26" s="373">
        <f>IF(('user page'!$R$36=0),$N26^(J26^0.25),IF(('user page'!$R$36=1),$N26^(J26^0.5),IF(('user page'!$R$36=2),$N26^(J26^0.375),IF(('user page'!$R$36=4),$N26^(J26),IF(('user page'!$R$36=3),$N26^(LN(1+J26)),"")))))</f>
        <v>0.98006871247951299</v>
      </c>
      <c r="Q26" s="373">
        <f>IF(('user page'!$R$36=0),$N26^(K26^0.25),IF(('user page'!$R$36=1),$N26^(K26^0.5),IF(('user page'!$R$36=2),$N26^(K26^0.375),IF(('user page'!$R$36=4),$N26^(K26),IF(('user page'!$R$36=3),$N26^(LN(1+K26)),"")))))</f>
        <v>0.98006871247951299</v>
      </c>
      <c r="R26" s="373">
        <f>IF(('user page'!$R$36=0),$N26^(L26^0.25),IF(('user page'!$R$36=1),$N26^(L26^0.5),IF(('user page'!$R$36=2),$N26^(L26^0.375),IF(('user page'!$R$36=4),$N26^(L26),IF(('user page'!$R$36=3),$N26^(LN(1+L26)),"")))))</f>
        <v>0.87935659051498705</v>
      </c>
      <c r="S26" s="373">
        <f>IF(('user page'!$R$36=0),$N26^(M26^0.25),IF(('user page'!$R$36=1),$N26^(M26^0.5),IF(('user page'!$R$36=2),$N26^(M26^0.375),IF(('user page'!$R$36=4),$N26^(M26),IF(('user page'!$R$36=3),$N26^(LN(1+M26)),"")))))</f>
        <v>0.82005507662182286</v>
      </c>
      <c r="T26" s="374">
        <f t="shared" si="20"/>
        <v>1</v>
      </c>
      <c r="U26" s="374">
        <f t="shared" si="20"/>
        <v>1</v>
      </c>
      <c r="V26" s="374">
        <f t="shared" si="20"/>
        <v>1</v>
      </c>
      <c r="W26" s="375">
        <f t="shared" si="20"/>
        <v>0.89723973362058407</v>
      </c>
      <c r="X26" s="375">
        <f t="shared" si="20"/>
        <v>0.83673222722020624</v>
      </c>
      <c r="Y26" s="374"/>
      <c r="Z26" s="376"/>
      <c r="AA26" s="376"/>
      <c r="AB26" s="372">
        <f>GBDNZ!E77/($T26+$U26+$X26+V26+W26)</f>
        <v>53.384586898802581</v>
      </c>
      <c r="AC26" s="376">
        <f t="shared" si="21"/>
        <v>53.384586898802581</v>
      </c>
      <c r="AD26" s="376">
        <f t="shared" si="21"/>
        <v>53.384586898802581</v>
      </c>
      <c r="AE26" s="376">
        <f t="shared" si="21"/>
        <v>47.89877252852655</v>
      </c>
      <c r="AF26" s="376">
        <f t="shared" si="21"/>
        <v>44.668604295065727</v>
      </c>
      <c r="AG26" s="372">
        <f>GBDNZ!F77/($T26+$U26+$X26+V26+W26)</f>
        <v>794.5468533429912</v>
      </c>
      <c r="AH26" s="376">
        <f t="shared" si="22"/>
        <v>794.5468533429912</v>
      </c>
      <c r="AI26" s="376">
        <f t="shared" si="22"/>
        <v>794.5468533429912</v>
      </c>
      <c r="AJ26" s="376">
        <f t="shared" si="22"/>
        <v>712.89900704253864</v>
      </c>
      <c r="AK26" s="376">
        <f t="shared" si="22"/>
        <v>664.82295822848755</v>
      </c>
      <c r="AL26" s="372">
        <f>GBDNZ!G77/($T26+$U26+$X26+V26+W26)</f>
        <v>88.336604559383034</v>
      </c>
      <c r="AM26" s="376">
        <f t="shared" si="23"/>
        <v>88.336604559383034</v>
      </c>
      <c r="AN26" s="376">
        <f t="shared" si="23"/>
        <v>88.336604559383034</v>
      </c>
      <c r="AO26" s="376">
        <f t="shared" si="23"/>
        <v>79.259111543807705</v>
      </c>
      <c r="AP26" s="376">
        <f t="shared" si="23"/>
        <v>73.914083878043186</v>
      </c>
      <c r="AQ26" s="373"/>
      <c r="AR26" s="373"/>
      <c r="AS26" s="373"/>
      <c r="AT26" s="373"/>
      <c r="AU26" s="384"/>
      <c r="AV26" s="384"/>
      <c r="AW26" s="384"/>
      <c r="AX26" s="384"/>
    </row>
    <row r="27" spans="1:50" x14ac:dyDescent="0.3">
      <c r="A27" s="364">
        <v>0</v>
      </c>
      <c r="B27" s="364">
        <v>1</v>
      </c>
      <c r="C27" s="364" t="s">
        <v>34</v>
      </c>
      <c r="D27" s="372">
        <f>Baseline!AN26</f>
        <v>0.25245260283815635</v>
      </c>
      <c r="E27" s="372">
        <f>Baseline!AO26</f>
        <v>0.60110188121277408</v>
      </c>
      <c r="F27" s="372">
        <f>Baseline!AP26</f>
        <v>1.096217216546284</v>
      </c>
      <c r="G27" s="372">
        <f>Baseline!AQ26</f>
        <v>1.9991489353318384</v>
      </c>
      <c r="H27" s="372">
        <f>Baseline!AR26</f>
        <v>4.7600704937982714</v>
      </c>
      <c r="I27" s="372">
        <f t="shared" si="19"/>
        <v>0.1</v>
      </c>
      <c r="J27" s="372">
        <f t="shared" si="19"/>
        <v>0.1</v>
      </c>
      <c r="K27" s="372">
        <f t="shared" si="19"/>
        <v>0.1</v>
      </c>
      <c r="L27" s="372">
        <f t="shared" si="19"/>
        <v>0.1</v>
      </c>
      <c r="M27" s="372">
        <f t="shared" si="19"/>
        <v>4.7600704937982714</v>
      </c>
      <c r="N27" s="380">
        <f>'Phy activity RRs'!$G$4</f>
        <v>0.93831941951583364</v>
      </c>
      <c r="O27" s="373">
        <f>IF(('user page'!$R$36=0),$N27^(I27^0.25),IF(('user page'!$R$36=1),$N27^(I27^0.5),IF(('user page'!$R$36=2),$N27^(I27^0.375),IF(('user page'!$R$36=4),$N27^(I27),IF(('user page'!$R$36=3),$N27^(LN(1+I27)),"")))))</f>
        <v>0.98006871247951299</v>
      </c>
      <c r="P27" s="373">
        <f>IF(('user page'!$R$36=0),$N27^(J27^0.25),IF(('user page'!$R$36=1),$N27^(J27^0.5),IF(('user page'!$R$36=2),$N27^(J27^0.375),IF(('user page'!$R$36=4),$N27^(J27),IF(('user page'!$R$36=3),$N27^(LN(1+J27)),"")))))</f>
        <v>0.98006871247951299</v>
      </c>
      <c r="Q27" s="373">
        <f>IF(('user page'!$R$36=0),$N27^(K27^0.25),IF(('user page'!$R$36=1),$N27^(K27^0.5),IF(('user page'!$R$36=2),$N27^(K27^0.375),IF(('user page'!$R$36=4),$N27^(K27),IF(('user page'!$R$36=3),$N27^(LN(1+K27)),"")))))</f>
        <v>0.98006871247951299</v>
      </c>
      <c r="R27" s="373">
        <f>IF(('user page'!$R$36=0),$N27^(L27^0.25),IF(('user page'!$R$36=1),$N27^(L27^0.5),IF(('user page'!$R$36=2),$N27^(L27^0.375),IF(('user page'!$R$36=4),$N27^(L27),IF(('user page'!$R$36=3),$N27^(LN(1+L27)),"")))))</f>
        <v>0.98006871247951299</v>
      </c>
      <c r="S27" s="373">
        <f>IF(('user page'!$R$36=0),$N27^(M27^0.25),IF(('user page'!$R$36=1),$N27^(M27^0.5),IF(('user page'!$R$36=2),$N27^(M27^0.375),IF(('user page'!$R$36=4),$N27^(M27),IF(('user page'!$R$36=3),$N27^(LN(1+M27)),"")))))</f>
        <v>0.87031388553843358</v>
      </c>
      <c r="T27" s="374">
        <f t="shared" si="20"/>
        <v>1</v>
      </c>
      <c r="U27" s="374">
        <f t="shared" si="20"/>
        <v>1</v>
      </c>
      <c r="V27" s="374">
        <f t="shared" si="20"/>
        <v>1</v>
      </c>
      <c r="W27" s="375">
        <f t="shared" si="20"/>
        <v>1</v>
      </c>
      <c r="X27" s="375">
        <f t="shared" si="20"/>
        <v>0.88801313056570641</v>
      </c>
      <c r="Y27" s="374"/>
      <c r="Z27" s="376"/>
      <c r="AA27" s="376"/>
      <c r="AB27" s="372">
        <f>GBDNZ!E78/($T27+$U27+$X27+V27+W27)</f>
        <v>143.40039309773243</v>
      </c>
      <c r="AC27" s="376">
        <f t="shared" si="21"/>
        <v>143.40039309773243</v>
      </c>
      <c r="AD27" s="376">
        <f t="shared" si="21"/>
        <v>143.40039309773243</v>
      </c>
      <c r="AE27" s="376">
        <f t="shared" si="21"/>
        <v>143.40039309773243</v>
      </c>
      <c r="AF27" s="376">
        <f t="shared" si="21"/>
        <v>127.34143199907029</v>
      </c>
      <c r="AG27" s="372">
        <f>GBDNZ!F78/($T27+$U27+$X27+V27+W27)</f>
        <v>936.37642503024244</v>
      </c>
      <c r="AH27" s="376">
        <f t="shared" si="22"/>
        <v>936.37642503024244</v>
      </c>
      <c r="AI27" s="376">
        <f t="shared" si="22"/>
        <v>936.37642503024244</v>
      </c>
      <c r="AJ27" s="376">
        <f t="shared" si="22"/>
        <v>936.37642503024244</v>
      </c>
      <c r="AK27" s="376">
        <f t="shared" si="22"/>
        <v>831.5145605790301</v>
      </c>
      <c r="AL27" s="372">
        <f>GBDNZ!G78/($T27+$U27+$X27+V27+W27)</f>
        <v>61.341063561197714</v>
      </c>
      <c r="AM27" s="376">
        <f t="shared" si="23"/>
        <v>61.341063561197714</v>
      </c>
      <c r="AN27" s="376">
        <f t="shared" si="23"/>
        <v>61.341063561197714</v>
      </c>
      <c r="AO27" s="376">
        <f t="shared" si="23"/>
        <v>61.341063561197714</v>
      </c>
      <c r="AP27" s="376">
        <f t="shared" si="23"/>
        <v>54.47166988520916</v>
      </c>
      <c r="AQ27" s="373"/>
      <c r="AR27" s="373"/>
      <c r="AS27" s="373"/>
      <c r="AT27" s="373"/>
      <c r="AU27" s="384"/>
      <c r="AV27" s="384"/>
      <c r="AW27" s="384"/>
      <c r="AX27" s="384"/>
    </row>
    <row r="28" spans="1:50" x14ac:dyDescent="0.3">
      <c r="A28" s="364">
        <v>0</v>
      </c>
      <c r="B28" s="364">
        <v>2</v>
      </c>
      <c r="C28" s="364" t="s">
        <v>2</v>
      </c>
      <c r="D28" s="372"/>
      <c r="E28" s="372"/>
      <c r="F28" s="372"/>
      <c r="G28" s="372"/>
      <c r="H28" s="372"/>
      <c r="I28" s="372"/>
      <c r="J28" s="372"/>
      <c r="K28" s="372"/>
      <c r="L28" s="372"/>
      <c r="M28" s="372"/>
      <c r="N28" s="380"/>
      <c r="O28" s="373"/>
      <c r="P28" s="373"/>
      <c r="Q28" s="373"/>
      <c r="R28" s="373"/>
      <c r="S28" s="373"/>
      <c r="T28" s="374"/>
      <c r="U28" s="374"/>
      <c r="V28" s="374"/>
      <c r="W28" s="375"/>
      <c r="X28" s="375"/>
      <c r="Y28" s="374"/>
      <c r="Z28" s="376"/>
      <c r="AA28" s="376"/>
      <c r="AB28" s="372"/>
      <c r="AC28" s="376"/>
      <c r="AD28" s="376"/>
      <c r="AE28" s="376"/>
      <c r="AF28" s="376"/>
      <c r="AG28" s="372"/>
      <c r="AH28" s="376"/>
      <c r="AI28" s="376"/>
      <c r="AJ28" s="376"/>
      <c r="AK28" s="376"/>
      <c r="AL28" s="372"/>
      <c r="AM28" s="376"/>
      <c r="AN28" s="376"/>
      <c r="AO28" s="376"/>
      <c r="AP28" s="376"/>
      <c r="AQ28" s="373"/>
      <c r="AR28" s="373"/>
      <c r="AS28" s="373"/>
      <c r="AT28" s="373"/>
      <c r="AU28" s="384"/>
      <c r="AV28" s="384"/>
      <c r="AW28" s="384"/>
      <c r="AX28" s="384"/>
    </row>
    <row r="29" spans="1:50" x14ac:dyDescent="0.3">
      <c r="A29" s="364">
        <v>0</v>
      </c>
      <c r="B29" s="364">
        <v>2</v>
      </c>
      <c r="C29" s="364" t="s">
        <v>40</v>
      </c>
      <c r="D29" s="372"/>
      <c r="E29" s="372"/>
      <c r="F29" s="372"/>
      <c r="G29" s="372"/>
      <c r="H29" s="372"/>
      <c r="I29" s="372"/>
      <c r="J29" s="372"/>
      <c r="K29" s="372"/>
      <c r="L29" s="372"/>
      <c r="M29" s="372"/>
      <c r="N29" s="380"/>
      <c r="O29" s="373"/>
      <c r="P29" s="373"/>
      <c r="Q29" s="373"/>
      <c r="R29" s="373"/>
      <c r="S29" s="373"/>
      <c r="T29" s="374"/>
      <c r="U29" s="374"/>
      <c r="V29" s="374"/>
      <c r="W29" s="375"/>
      <c r="X29" s="375"/>
      <c r="Y29" s="374"/>
      <c r="Z29" s="376"/>
      <c r="AA29" s="376"/>
      <c r="AB29" s="372"/>
      <c r="AC29" s="376"/>
      <c r="AD29" s="376"/>
      <c r="AE29" s="376"/>
      <c r="AF29" s="376"/>
      <c r="AG29" s="372"/>
      <c r="AH29" s="376"/>
      <c r="AI29" s="376"/>
      <c r="AJ29" s="376"/>
      <c r="AK29" s="376"/>
      <c r="AL29" s="372"/>
      <c r="AM29" s="376"/>
      <c r="AN29" s="376"/>
      <c r="AO29" s="376"/>
      <c r="AP29" s="376"/>
      <c r="AQ29" s="373"/>
      <c r="AR29" s="373"/>
      <c r="AS29" s="373"/>
      <c r="AT29" s="373"/>
      <c r="AU29" s="384"/>
      <c r="AV29" s="384"/>
      <c r="AW29" s="384"/>
      <c r="AX29" s="384"/>
    </row>
    <row r="30" spans="1:50" x14ac:dyDescent="0.3">
      <c r="A30" s="364">
        <v>0</v>
      </c>
      <c r="B30" s="364">
        <v>2</v>
      </c>
      <c r="C30" s="364" t="s">
        <v>39</v>
      </c>
      <c r="D30" s="372">
        <f>Baseline!AN29</f>
        <v>0.38786520725769708</v>
      </c>
      <c r="E30" s="372">
        <f>Baseline!AO29</f>
        <v>0.9235258544315782</v>
      </c>
      <c r="F30" s="372">
        <f>Baseline!AP29</f>
        <v>1.6842152273936337</v>
      </c>
      <c r="G30" s="372">
        <f>Baseline!AQ29</f>
        <v>3.0714688912856469</v>
      </c>
      <c r="H30" s="372">
        <f>Baseline!AR29</f>
        <v>7.3133162735578114</v>
      </c>
      <c r="I30" s="372">
        <f t="shared" ref="I30:M35" si="24">IF(D30&gt;2.5,D30,0.1)</f>
        <v>0.1</v>
      </c>
      <c r="J30" s="372">
        <f t="shared" si="24"/>
        <v>0.1</v>
      </c>
      <c r="K30" s="372">
        <f t="shared" si="24"/>
        <v>0.1</v>
      </c>
      <c r="L30" s="372">
        <f t="shared" si="24"/>
        <v>3.0714688912856469</v>
      </c>
      <c r="M30" s="372">
        <f t="shared" si="24"/>
        <v>7.3133162735578114</v>
      </c>
      <c r="N30" s="380">
        <f>'Phy activity RRs'!$G$4</f>
        <v>0.93831941951583364</v>
      </c>
      <c r="O30" s="373">
        <f>IF(('user page'!$R$36=0),$N30^(I30^0.25),IF(('user page'!$R$36=1),$N30^(I30^0.5),IF(('user page'!$R$36=2),$N30^(I30^0.375),IF(('user page'!$R$36=4),$N30^(I30),IF(('user page'!$R$36=3),$N30^(LN(1+I30)),"")))))</f>
        <v>0.98006871247951299</v>
      </c>
      <c r="P30" s="373">
        <f>IF(('user page'!$R$36=0),$N30^(J30^0.25),IF(('user page'!$R$36=1),$N30^(J30^0.5),IF(('user page'!$R$36=2),$N30^(J30^0.375),IF(('user page'!$R$36=4),$N30^(J30),IF(('user page'!$R$36=3),$N30^(LN(1+J30)),"")))))</f>
        <v>0.98006871247951299</v>
      </c>
      <c r="Q30" s="373">
        <f>IF(('user page'!$R$36=0),$N30^(K30^0.25),IF(('user page'!$R$36=1),$N30^(K30^0.5),IF(('user page'!$R$36=2),$N30^(K30^0.375),IF(('user page'!$R$36=4),$N30^(K30),IF(('user page'!$R$36=3),$N30^(LN(1+K30)),"")))))</f>
        <v>0.98006871247951299</v>
      </c>
      <c r="R30" s="373">
        <f>IF(('user page'!$R$36=0),$N30^(L30^0.25),IF(('user page'!$R$36=1),$N30^(L30^0.5),IF(('user page'!$R$36=2),$N30^(L30^0.375),IF(('user page'!$R$36=4),$N30^(L30),IF(('user page'!$R$36=3),$N30^(LN(1+L30)),"")))))</f>
        <v>0.89442294623525309</v>
      </c>
      <c r="S30" s="373">
        <f>IF(('user page'!$R$36=0),$N30^(M30^0.25),IF(('user page'!$R$36=1),$N30^(M30^0.5),IF(('user page'!$R$36=2),$N30^(M30^0.375),IF(('user page'!$R$36=4),$N30^(M30),IF(('user page'!$R$36=3),$N30^(LN(1+M30)),"")))))</f>
        <v>0.8418362306448598</v>
      </c>
      <c r="T30" s="374">
        <f t="shared" ref="T30:X35" si="25">O30/$O30</f>
        <v>1</v>
      </c>
      <c r="U30" s="374">
        <f t="shared" si="25"/>
        <v>1</v>
      </c>
      <c r="V30" s="374">
        <f t="shared" si="25"/>
        <v>1</v>
      </c>
      <c r="W30" s="375">
        <f t="shared" si="25"/>
        <v>0.91261248813097862</v>
      </c>
      <c r="X30" s="375">
        <f t="shared" si="25"/>
        <v>0.85895633635224045</v>
      </c>
      <c r="Y30" s="374"/>
      <c r="Z30" s="376"/>
      <c r="AA30" s="376"/>
      <c r="AB30" s="372">
        <f>GBDNZ!E81/($T30+$U30+$X30+V30+W30)</f>
        <v>0.40307028152492363</v>
      </c>
      <c r="AC30" s="376">
        <f t="shared" ref="AC30:AF35" si="26">$AB30*U30</f>
        <v>0.40307028152492363</v>
      </c>
      <c r="AD30" s="376">
        <f t="shared" si="26"/>
        <v>0.40307028152492363</v>
      </c>
      <c r="AE30" s="376">
        <f t="shared" si="26"/>
        <v>0.36784697251411458</v>
      </c>
      <c r="AF30" s="376">
        <f t="shared" si="26"/>
        <v>0.34621977231111456</v>
      </c>
      <c r="AG30" s="372">
        <f>GBDNZ!F81/($T30+$U30+$X30+V30+W30)</f>
        <v>25.424242378635032</v>
      </c>
      <c r="AH30" s="376">
        <f t="shared" ref="AH30:AK35" si="27">$AG30*U30</f>
        <v>25.424242378635032</v>
      </c>
      <c r="AI30" s="376">
        <f t="shared" si="27"/>
        <v>25.424242378635032</v>
      </c>
      <c r="AJ30" s="376">
        <f t="shared" si="27"/>
        <v>23.202481096011187</v>
      </c>
      <c r="AK30" s="376">
        <f t="shared" si="27"/>
        <v>21.838314088083717</v>
      </c>
      <c r="AL30" s="372">
        <f>GBDNZ!G81/($T30+$U30+$X30+V30+W30)</f>
        <v>4.5854721011741217</v>
      </c>
      <c r="AM30" s="376">
        <f t="shared" ref="AM30:AP35" si="28">U30*$AL30</f>
        <v>4.5854721011741217</v>
      </c>
      <c r="AN30" s="376">
        <f t="shared" si="28"/>
        <v>4.5854721011741217</v>
      </c>
      <c r="AO30" s="376">
        <f t="shared" si="28"/>
        <v>4.1847591035077016</v>
      </c>
      <c r="AP30" s="376">
        <f t="shared" si="28"/>
        <v>3.9387203164699338</v>
      </c>
      <c r="AQ30" s="373"/>
      <c r="AR30" s="373"/>
      <c r="AS30" s="373"/>
      <c r="AT30" s="373"/>
      <c r="AU30" s="384"/>
      <c r="AV30" s="384"/>
      <c r="AW30" s="384"/>
      <c r="AX30" s="384"/>
    </row>
    <row r="31" spans="1:50" x14ac:dyDescent="0.3">
      <c r="A31" s="364">
        <v>0</v>
      </c>
      <c r="B31" s="364">
        <v>2</v>
      </c>
      <c r="C31" s="364" t="s">
        <v>38</v>
      </c>
      <c r="D31" s="372">
        <f>Baseline!AN30</f>
        <v>0.32214184162495779</v>
      </c>
      <c r="E31" s="372">
        <f>Baseline!AO30</f>
        <v>0.76703533590520923</v>
      </c>
      <c r="F31" s="372">
        <f>Baseline!AP30</f>
        <v>1.3988266668242526</v>
      </c>
      <c r="G31" s="372">
        <f>Baseline!AQ30</f>
        <v>2.5510116056249852</v>
      </c>
      <c r="H31" s="372">
        <f>Baseline!AR30</f>
        <v>6.0740822550356066</v>
      </c>
      <c r="I31" s="372">
        <f t="shared" si="24"/>
        <v>0.1</v>
      </c>
      <c r="J31" s="372">
        <f t="shared" si="24"/>
        <v>0.1</v>
      </c>
      <c r="K31" s="372">
        <f t="shared" si="24"/>
        <v>0.1</v>
      </c>
      <c r="L31" s="372">
        <f t="shared" si="24"/>
        <v>2.5510116056249852</v>
      </c>
      <c r="M31" s="372">
        <f t="shared" si="24"/>
        <v>6.0740822550356066</v>
      </c>
      <c r="N31" s="380">
        <f>'Phy activity RRs'!$G$4</f>
        <v>0.93831941951583364</v>
      </c>
      <c r="O31" s="373">
        <f>IF(('user page'!$R$36=0),$N31^(I31^0.25),IF(('user page'!$R$36=1),$N31^(I31^0.5),IF(('user page'!$R$36=2),$N31^(I31^0.375),IF(('user page'!$R$36=4),$N31^(I31),IF(('user page'!$R$36=3),$N31^(LN(1+I31)),"")))))</f>
        <v>0.98006871247951299</v>
      </c>
      <c r="P31" s="373">
        <f>IF(('user page'!$R$36=0),$N31^(J31^0.25),IF(('user page'!$R$36=1),$N31^(J31^0.5),IF(('user page'!$R$36=2),$N31^(J31^0.375),IF(('user page'!$R$36=4),$N31^(J31),IF(('user page'!$R$36=3),$N31^(LN(1+J31)),"")))))</f>
        <v>0.98006871247951299</v>
      </c>
      <c r="Q31" s="373">
        <f>IF(('user page'!$R$36=0),$N31^(K31^0.25),IF(('user page'!$R$36=1),$N31^(K31^0.5),IF(('user page'!$R$36=2),$N31^(K31^0.375),IF(('user page'!$R$36=4),$N31^(K31),IF(('user page'!$R$36=3),$N31^(LN(1+K31)),"")))))</f>
        <v>0.98006871247951299</v>
      </c>
      <c r="R31" s="373">
        <f>IF(('user page'!$R$36=0),$N31^(L31^0.25),IF(('user page'!$R$36=1),$N31^(L31^0.5),IF(('user page'!$R$36=2),$N31^(L31^0.375),IF(('user page'!$R$36=4),$N31^(L31),IF(('user page'!$R$36=3),$N31^(LN(1+L31)),"")))))</f>
        <v>0.90331424508347002</v>
      </c>
      <c r="S31" s="373">
        <f>IF(('user page'!$R$36=0),$N31^(M31^0.25),IF(('user page'!$R$36=1),$N31^(M31^0.5),IF(('user page'!$R$36=2),$N31^(M31^0.375),IF(('user page'!$R$36=4),$N31^(M31),IF(('user page'!$R$36=3),$N31^(LN(1+M31)),"")))))</f>
        <v>0.85478423788211289</v>
      </c>
      <c r="T31" s="374">
        <f t="shared" si="25"/>
        <v>1</v>
      </c>
      <c r="U31" s="374">
        <f t="shared" si="25"/>
        <v>1</v>
      </c>
      <c r="V31" s="374">
        <f t="shared" si="25"/>
        <v>1</v>
      </c>
      <c r="W31" s="375">
        <f t="shared" si="25"/>
        <v>0.92168460596822954</v>
      </c>
      <c r="X31" s="375">
        <f t="shared" si="25"/>
        <v>0.87216766232600351</v>
      </c>
      <c r="Y31" s="374"/>
      <c r="Z31" s="376"/>
      <c r="AA31" s="376"/>
      <c r="AB31" s="372">
        <f>GBDNZ!E82/($T31+$U31+$X31+V31+W31)</f>
        <v>2.9968262655728206</v>
      </c>
      <c r="AC31" s="376">
        <f t="shared" si="26"/>
        <v>2.9968262655728206</v>
      </c>
      <c r="AD31" s="376">
        <f t="shared" si="26"/>
        <v>2.9968262655728206</v>
      </c>
      <c r="AE31" s="376">
        <f t="shared" si="26"/>
        <v>2.7621286357397259</v>
      </c>
      <c r="AF31" s="376">
        <f t="shared" si="26"/>
        <v>2.6137349584418139</v>
      </c>
      <c r="AG31" s="372">
        <f>GBDNZ!F82/($T31+$U31+$X31+V31+W31)</f>
        <v>142.13877351761937</v>
      </c>
      <c r="AH31" s="376">
        <f t="shared" si="27"/>
        <v>142.13877351761937</v>
      </c>
      <c r="AI31" s="376">
        <f t="shared" si="27"/>
        <v>142.13877351761937</v>
      </c>
      <c r="AJ31" s="376">
        <f t="shared" si="27"/>
        <v>131.00711946239443</v>
      </c>
      <c r="AK31" s="376">
        <f t="shared" si="27"/>
        <v>123.96884182474734</v>
      </c>
      <c r="AL31" s="372">
        <f>GBDNZ!G82/($T31+$U31+$X31+V31+W31)</f>
        <v>17.23705821047389</v>
      </c>
      <c r="AM31" s="376">
        <f t="shared" si="28"/>
        <v>17.23705821047389</v>
      </c>
      <c r="AN31" s="376">
        <f t="shared" si="28"/>
        <v>17.23705821047389</v>
      </c>
      <c r="AO31" s="376">
        <f t="shared" si="28"/>
        <v>15.887131204772063</v>
      </c>
      <c r="AP31" s="376">
        <f t="shared" si="28"/>
        <v>15.033604764806258</v>
      </c>
      <c r="AQ31" s="373"/>
      <c r="AR31" s="373"/>
      <c r="AS31" s="373"/>
      <c r="AT31" s="373"/>
      <c r="AU31" s="384"/>
      <c r="AV31" s="384"/>
      <c r="AW31" s="384"/>
      <c r="AX31" s="384"/>
    </row>
    <row r="32" spans="1:50" x14ac:dyDescent="0.3">
      <c r="A32" s="364">
        <v>0</v>
      </c>
      <c r="B32" s="364">
        <v>2</v>
      </c>
      <c r="C32" s="364" t="s">
        <v>37</v>
      </c>
      <c r="D32" s="372">
        <f>Baseline!AN31</f>
        <v>0.46307739299727485</v>
      </c>
      <c r="E32" s="372">
        <f>Baseline!AO31</f>
        <v>1.1026097134606268</v>
      </c>
      <c r="F32" s="372">
        <f>Baseline!AP31</f>
        <v>2.0108068013163582</v>
      </c>
      <c r="G32" s="372">
        <f>Baseline!AQ31</f>
        <v>3.6670672703669323</v>
      </c>
      <c r="H32" s="372">
        <f>Baseline!AR31</f>
        <v>8.7314648768524989</v>
      </c>
      <c r="I32" s="372">
        <f t="shared" si="24"/>
        <v>0.1</v>
      </c>
      <c r="J32" s="372">
        <f t="shared" si="24"/>
        <v>0.1</v>
      </c>
      <c r="K32" s="372">
        <f t="shared" si="24"/>
        <v>0.1</v>
      </c>
      <c r="L32" s="372">
        <f t="shared" si="24"/>
        <v>3.6670672703669323</v>
      </c>
      <c r="M32" s="372">
        <f t="shared" si="24"/>
        <v>8.7314648768524989</v>
      </c>
      <c r="N32" s="380">
        <f>'Phy activity RRs'!$G$4</f>
        <v>0.93831941951583364</v>
      </c>
      <c r="O32" s="373">
        <f>IF(('user page'!$R$36=0),$N32^(I32^0.25),IF(('user page'!$R$36=1),$N32^(I32^0.5),IF(('user page'!$R$36=2),$N32^(I32^0.375),IF(('user page'!$R$36=4),$N32^(I32),IF(('user page'!$R$36=3),$N32^(LN(1+I32)),"")))))</f>
        <v>0.98006871247951299</v>
      </c>
      <c r="P32" s="373">
        <f>IF(('user page'!$R$36=0),$N32^(J32^0.25),IF(('user page'!$R$36=1),$N32^(J32^0.5),IF(('user page'!$R$36=2),$N32^(J32^0.375),IF(('user page'!$R$36=4),$N32^(J32),IF(('user page'!$R$36=3),$N32^(LN(1+J32)),"")))))</f>
        <v>0.98006871247951299</v>
      </c>
      <c r="Q32" s="373">
        <f>IF(('user page'!$R$36=0),$N32^(K32^0.25),IF(('user page'!$R$36=1),$N32^(K32^0.5),IF(('user page'!$R$36=2),$N32^(K32^0.375),IF(('user page'!$R$36=4),$N32^(K32),IF(('user page'!$R$36=3),$N32^(LN(1+K32)),"")))))</f>
        <v>0.98006871247951299</v>
      </c>
      <c r="R32" s="373">
        <f>IF(('user page'!$R$36=0),$N32^(L32^0.25),IF(('user page'!$R$36=1),$N32^(L32^0.5),IF(('user page'!$R$36=2),$N32^(L32^0.375),IF(('user page'!$R$36=4),$N32^(L32),IF(('user page'!$R$36=3),$N32^(LN(1+L32)),"")))))</f>
        <v>0.88522309925020337</v>
      </c>
      <c r="S32" s="373">
        <f>IF(('user page'!$R$36=0),$N32^(M32^0.25),IF(('user page'!$R$36=1),$N32^(M32^0.5),IF(('user page'!$R$36=2),$N32^(M32^0.375),IF(('user page'!$R$36=4),$N32^(M32),IF(('user page'!$R$36=3),$N32^(LN(1+M32)),"")))))</f>
        <v>0.82851228537111998</v>
      </c>
      <c r="T32" s="374">
        <f t="shared" si="25"/>
        <v>1</v>
      </c>
      <c r="U32" s="374">
        <f t="shared" si="25"/>
        <v>1</v>
      </c>
      <c r="V32" s="374">
        <f t="shared" si="25"/>
        <v>1</v>
      </c>
      <c r="W32" s="375">
        <f t="shared" si="25"/>
        <v>0.90322554732988458</v>
      </c>
      <c r="X32" s="375">
        <f t="shared" si="25"/>
        <v>0.84536142703202444</v>
      </c>
      <c r="Y32" s="374"/>
      <c r="Z32" s="376"/>
      <c r="AA32" s="376"/>
      <c r="AB32" s="372">
        <f>GBDNZ!E83/($T32+$U32+$X32+V32+W32)</f>
        <v>11.693572429188068</v>
      </c>
      <c r="AC32" s="376">
        <f t="shared" si="26"/>
        <v>11.693572429188068</v>
      </c>
      <c r="AD32" s="376">
        <f t="shared" si="26"/>
        <v>11.693572429188068</v>
      </c>
      <c r="AE32" s="376">
        <f t="shared" si="26"/>
        <v>10.561933357595041</v>
      </c>
      <c r="AF32" s="376">
        <f t="shared" si="26"/>
        <v>9.8852950758407623</v>
      </c>
      <c r="AG32" s="372">
        <f>GBDNZ!F83/($T32+$U32+$X32+V32+W32)</f>
        <v>403.33744494537052</v>
      </c>
      <c r="AH32" s="376">
        <f t="shared" si="27"/>
        <v>403.33744494537052</v>
      </c>
      <c r="AI32" s="376">
        <f t="shared" si="27"/>
        <v>403.33744494537052</v>
      </c>
      <c r="AJ32" s="376">
        <f t="shared" si="27"/>
        <v>364.3046844694195</v>
      </c>
      <c r="AK32" s="376">
        <f t="shared" si="27"/>
        <v>340.96591803446904</v>
      </c>
      <c r="AL32" s="372">
        <f>GBDNZ!G83/($T32+$U32+$X32+V32+W32)</f>
        <v>53.375749194539836</v>
      </c>
      <c r="AM32" s="376">
        <f t="shared" si="28"/>
        <v>53.375749194539836</v>
      </c>
      <c r="AN32" s="376">
        <f t="shared" si="28"/>
        <v>53.375749194539836</v>
      </c>
      <c r="AO32" s="376">
        <f t="shared" si="28"/>
        <v>48.21034028038089</v>
      </c>
      <c r="AP32" s="376">
        <f t="shared" si="28"/>
        <v>45.121799507999626</v>
      </c>
      <c r="AQ32" s="373"/>
      <c r="AR32" s="373"/>
      <c r="AS32" s="373"/>
      <c r="AT32" s="373"/>
      <c r="AU32" s="384"/>
      <c r="AV32" s="384"/>
      <c r="AW32" s="384"/>
      <c r="AX32" s="384"/>
    </row>
    <row r="33" spans="1:50" x14ac:dyDescent="0.3">
      <c r="A33" s="364">
        <v>0</v>
      </c>
      <c r="B33" s="364">
        <v>2</v>
      </c>
      <c r="C33" s="364" t="s">
        <v>36</v>
      </c>
      <c r="D33" s="372">
        <f>Baseline!AN32</f>
        <v>0.35634958562049185</v>
      </c>
      <c r="E33" s="372">
        <f>Baseline!AO32</f>
        <v>0.8484856320661196</v>
      </c>
      <c r="F33" s="372">
        <f>Baseline!AP32</f>
        <v>1.5473659074006401</v>
      </c>
      <c r="G33" s="372">
        <f>Baseline!AQ32</f>
        <v>2.8218995830906697</v>
      </c>
      <c r="H33" s="372">
        <f>Baseline!AR32</f>
        <v>6.7190796566149293</v>
      </c>
      <c r="I33" s="372">
        <f t="shared" si="24"/>
        <v>0.1</v>
      </c>
      <c r="J33" s="372">
        <f t="shared" si="24"/>
        <v>0.1</v>
      </c>
      <c r="K33" s="372">
        <f t="shared" si="24"/>
        <v>0.1</v>
      </c>
      <c r="L33" s="372">
        <f t="shared" si="24"/>
        <v>2.8218995830906697</v>
      </c>
      <c r="M33" s="372">
        <f t="shared" si="24"/>
        <v>6.7190796566149293</v>
      </c>
      <c r="N33" s="380">
        <f>'Phy activity RRs'!$G$4</f>
        <v>0.93831941951583364</v>
      </c>
      <c r="O33" s="373">
        <f>IF(('user page'!$R$36=0),$N33^(I33^0.25),IF(('user page'!$R$36=1),$N33^(I33^0.5),IF(('user page'!$R$36=2),$N33^(I33^0.375),IF(('user page'!$R$36=4),$N33^(I33),IF(('user page'!$R$36=3),$N33^(LN(1+I33)),"")))))</f>
        <v>0.98006871247951299</v>
      </c>
      <c r="P33" s="373">
        <f>IF(('user page'!$R$36=0),$N33^(J33^0.25),IF(('user page'!$R$36=1),$N33^(J33^0.5),IF(('user page'!$R$36=2),$N33^(J33^0.375),IF(('user page'!$R$36=4),$N33^(J33),IF(('user page'!$R$36=3),$N33^(LN(1+J33)),"")))))</f>
        <v>0.98006871247951299</v>
      </c>
      <c r="Q33" s="373">
        <f>IF(('user page'!$R$36=0),$N33^(K33^0.25),IF(('user page'!$R$36=1),$N33^(K33^0.5),IF(('user page'!$R$36=2),$N33^(K33^0.375),IF(('user page'!$R$36=4),$N33^(K33),IF(('user page'!$R$36=3),$N33^(LN(1+K33)),"")))))</f>
        <v>0.98006871247951299</v>
      </c>
      <c r="R33" s="373">
        <f>IF(('user page'!$R$36=0),$N33^(L33^0.25),IF(('user page'!$R$36=1),$N33^(L33^0.5),IF(('user page'!$R$36=2),$N33^(L33^0.375),IF(('user page'!$R$36=4),$N33^(L33),IF(('user page'!$R$36=3),$N33^(LN(1+L33)),"")))))</f>
        <v>0.89857286943998327</v>
      </c>
      <c r="S33" s="373">
        <f>IF(('user page'!$R$36=0),$N33^(M33^0.25),IF(('user page'!$R$36=1),$N33^(M33^0.5),IF(('user page'!$R$36=2),$N33^(M33^0.375),IF(('user page'!$R$36=4),$N33^(M33),IF(('user page'!$R$36=3),$N33^(LN(1+M33)),"")))))</f>
        <v>0.84787092492473326</v>
      </c>
      <c r="T33" s="374">
        <f t="shared" si="25"/>
        <v>1</v>
      </c>
      <c r="U33" s="374">
        <f t="shared" si="25"/>
        <v>1</v>
      </c>
      <c r="V33" s="374">
        <f t="shared" si="25"/>
        <v>1</v>
      </c>
      <c r="W33" s="375">
        <f t="shared" si="25"/>
        <v>0.91684680675771157</v>
      </c>
      <c r="X33" s="375">
        <f t="shared" si="25"/>
        <v>0.86511375593214523</v>
      </c>
      <c r="Y33" s="374"/>
      <c r="Z33" s="376"/>
      <c r="AA33" s="376"/>
      <c r="AB33" s="372">
        <f>GBDNZ!E84/($T33+$U33+$X33+V33+W33)</f>
        <v>20.112745796652824</v>
      </c>
      <c r="AC33" s="376">
        <f t="shared" si="26"/>
        <v>20.112745796652824</v>
      </c>
      <c r="AD33" s="376">
        <f t="shared" si="26"/>
        <v>20.112745796652824</v>
      </c>
      <c r="AE33" s="376">
        <f t="shared" si="26"/>
        <v>18.440306758790726</v>
      </c>
      <c r="AF33" s="376">
        <f t="shared" si="26"/>
        <v>17.399813058250793</v>
      </c>
      <c r="AG33" s="372">
        <f>GBDNZ!F84/($T33+$U33+$X33+V33+W33)</f>
        <v>469.06010160366003</v>
      </c>
      <c r="AH33" s="376">
        <f t="shared" si="27"/>
        <v>469.06010160366003</v>
      </c>
      <c r="AI33" s="376">
        <f t="shared" si="27"/>
        <v>469.06010160366003</v>
      </c>
      <c r="AJ33" s="376">
        <f t="shared" si="27"/>
        <v>430.05625633276344</v>
      </c>
      <c r="AK33" s="376">
        <f t="shared" si="27"/>
        <v>405.79034625625599</v>
      </c>
      <c r="AL33" s="372">
        <f>GBDNZ!G84/($T33+$U33+$X33+V33+W33)</f>
        <v>64.649640430347205</v>
      </c>
      <c r="AM33" s="376">
        <f t="shared" si="28"/>
        <v>64.649640430347205</v>
      </c>
      <c r="AN33" s="376">
        <f t="shared" si="28"/>
        <v>64.649640430347205</v>
      </c>
      <c r="AO33" s="376">
        <f t="shared" si="28"/>
        <v>59.273816386598078</v>
      </c>
      <c r="AP33" s="376">
        <f t="shared" si="28"/>
        <v>55.929293252360338</v>
      </c>
      <c r="AQ33" s="373"/>
      <c r="AR33" s="373"/>
      <c r="AS33" s="373"/>
      <c r="AT33" s="373"/>
      <c r="AU33" s="384"/>
      <c r="AV33" s="384"/>
      <c r="AW33" s="384"/>
      <c r="AX33" s="384"/>
    </row>
    <row r="34" spans="1:50" x14ac:dyDescent="0.3">
      <c r="A34" s="364">
        <v>0</v>
      </c>
      <c r="B34" s="364">
        <v>2</v>
      </c>
      <c r="C34" s="364" t="s">
        <v>35</v>
      </c>
      <c r="D34" s="372">
        <f>Baseline!AN33</f>
        <v>0.30903559868571595</v>
      </c>
      <c r="E34" s="372">
        <f>Baseline!AO33</f>
        <v>0.73582873633823809</v>
      </c>
      <c r="F34" s="372">
        <f>Baseline!AP33</f>
        <v>1.3419158289374042</v>
      </c>
      <c r="G34" s="372">
        <f>Baseline!AQ33</f>
        <v>2.4472244736104138</v>
      </c>
      <c r="H34" s="372">
        <f>Baseline!AR33</f>
        <v>5.8269600641836821</v>
      </c>
      <c r="I34" s="372">
        <f t="shared" si="24"/>
        <v>0.1</v>
      </c>
      <c r="J34" s="372">
        <f t="shared" si="24"/>
        <v>0.1</v>
      </c>
      <c r="K34" s="372">
        <f t="shared" si="24"/>
        <v>0.1</v>
      </c>
      <c r="L34" s="372">
        <f t="shared" si="24"/>
        <v>0.1</v>
      </c>
      <c r="M34" s="372">
        <f t="shared" si="24"/>
        <v>5.8269600641836821</v>
      </c>
      <c r="N34" s="380">
        <f>'Phy activity RRs'!$G$4</f>
        <v>0.93831941951583364</v>
      </c>
      <c r="O34" s="373">
        <f>IF(('user page'!$R$36=0),$N34^(I34^0.25),IF(('user page'!$R$36=1),$N34^(I34^0.5),IF(('user page'!$R$36=2),$N34^(I34^0.375),IF(('user page'!$R$36=4),$N34^(I34),IF(('user page'!$R$36=3),$N34^(LN(1+I34)),"")))))</f>
        <v>0.98006871247951299</v>
      </c>
      <c r="P34" s="373">
        <f>IF(('user page'!$R$36=0),$N34^(J34^0.25),IF(('user page'!$R$36=1),$N34^(J34^0.5),IF(('user page'!$R$36=2),$N34^(J34^0.375),IF(('user page'!$R$36=4),$N34^(J34),IF(('user page'!$R$36=3),$N34^(LN(1+J34)),"")))))</f>
        <v>0.98006871247951299</v>
      </c>
      <c r="Q34" s="373">
        <f>IF(('user page'!$R$36=0),$N34^(K34^0.25),IF(('user page'!$R$36=1),$N34^(K34^0.5),IF(('user page'!$R$36=2),$N34^(K34^0.375),IF(('user page'!$R$36=4),$N34^(K34),IF(('user page'!$R$36=3),$N34^(LN(1+K34)),"")))))</f>
        <v>0.98006871247951299</v>
      </c>
      <c r="R34" s="373">
        <f>IF(('user page'!$R$36=0),$N34^(L34^0.25),IF(('user page'!$R$36=1),$N34^(L34^0.5),IF(('user page'!$R$36=2),$N34^(L34^0.375),IF(('user page'!$R$36=4),$N34^(L34),IF(('user page'!$R$36=3),$N34^(LN(1+L34)),"")))))</f>
        <v>0.98006871247951299</v>
      </c>
      <c r="S34" s="373">
        <f>IF(('user page'!$R$36=0),$N34^(M34^0.25),IF(('user page'!$R$36=1),$N34^(M34^0.5),IF(('user page'!$R$36=2),$N34^(M34^0.375),IF(('user page'!$R$36=4),$N34^(M34),IF(('user page'!$R$36=3),$N34^(LN(1+M34)),"")))))</f>
        <v>0.85754535231110929</v>
      </c>
      <c r="T34" s="374">
        <f t="shared" si="25"/>
        <v>1</v>
      </c>
      <c r="U34" s="374">
        <f t="shared" si="25"/>
        <v>1</v>
      </c>
      <c r="V34" s="374">
        <f t="shared" si="25"/>
        <v>1</v>
      </c>
      <c r="W34" s="375">
        <f t="shared" si="25"/>
        <v>1</v>
      </c>
      <c r="X34" s="375">
        <f t="shared" si="25"/>
        <v>0.87498492849707732</v>
      </c>
      <c r="Y34" s="374"/>
      <c r="Z34" s="376"/>
      <c r="AA34" s="376"/>
      <c r="AB34" s="372">
        <f>GBDNZ!E85/($T34+$U34+$X34+V34+W34)</f>
        <v>52.414409892498846</v>
      </c>
      <c r="AC34" s="376">
        <f t="shared" si="26"/>
        <v>52.414409892498846</v>
      </c>
      <c r="AD34" s="376">
        <f t="shared" si="26"/>
        <v>52.414409892498846</v>
      </c>
      <c r="AE34" s="376">
        <f t="shared" si="26"/>
        <v>52.414409892498846</v>
      </c>
      <c r="AF34" s="376">
        <f t="shared" si="26"/>
        <v>45.861818692004604</v>
      </c>
      <c r="AG34" s="372">
        <f>GBDNZ!F85/($T34+$U34+$X34+V34+W34)</f>
        <v>770.8759766481096</v>
      </c>
      <c r="AH34" s="376">
        <f t="shared" si="27"/>
        <v>770.8759766481096</v>
      </c>
      <c r="AI34" s="376">
        <f t="shared" si="27"/>
        <v>770.8759766481096</v>
      </c>
      <c r="AJ34" s="376">
        <f t="shared" si="27"/>
        <v>770.8759766481096</v>
      </c>
      <c r="AK34" s="376">
        <f t="shared" si="27"/>
        <v>674.50486130756087</v>
      </c>
      <c r="AL34" s="372">
        <f>GBDNZ!G85/($T34+$U34+$X34+V34+W34)</f>
        <v>63.279435229988309</v>
      </c>
      <c r="AM34" s="376">
        <f t="shared" si="28"/>
        <v>63.279435229988309</v>
      </c>
      <c r="AN34" s="376">
        <f t="shared" si="28"/>
        <v>63.279435229988309</v>
      </c>
      <c r="AO34" s="376">
        <f t="shared" si="28"/>
        <v>63.279435229988309</v>
      </c>
      <c r="AP34" s="376">
        <f t="shared" si="28"/>
        <v>55.368552110046757</v>
      </c>
      <c r="AQ34" s="373"/>
      <c r="AR34" s="373"/>
      <c r="AS34" s="373"/>
      <c r="AT34" s="373"/>
      <c r="AU34" s="384"/>
      <c r="AV34" s="384"/>
      <c r="AW34" s="384"/>
      <c r="AX34" s="384"/>
    </row>
    <row r="35" spans="1:50" x14ac:dyDescent="0.3">
      <c r="A35" s="364">
        <v>0</v>
      </c>
      <c r="B35" s="364">
        <v>2</v>
      </c>
      <c r="C35" s="364" t="s">
        <v>34</v>
      </c>
      <c r="D35" s="372">
        <f>Baseline!AN34</f>
        <v>0.18233554535978089</v>
      </c>
      <c r="E35" s="372">
        <f>Baseline!AO34</f>
        <v>0.43414976948360384</v>
      </c>
      <c r="F35" s="372">
        <f>Baseline!AP34</f>
        <v>0.79175006224787237</v>
      </c>
      <c r="G35" s="372">
        <f>Baseline!AQ34</f>
        <v>1.4438984081809676</v>
      </c>
      <c r="H35" s="372">
        <f>Baseline!AR34</f>
        <v>3.4379920812071276</v>
      </c>
      <c r="I35" s="372">
        <f t="shared" si="24"/>
        <v>0.1</v>
      </c>
      <c r="J35" s="372">
        <f t="shared" si="24"/>
        <v>0.1</v>
      </c>
      <c r="K35" s="372">
        <f t="shared" si="24"/>
        <v>0.1</v>
      </c>
      <c r="L35" s="372">
        <f t="shared" si="24"/>
        <v>0.1</v>
      </c>
      <c r="M35" s="372">
        <f t="shared" si="24"/>
        <v>3.4379920812071276</v>
      </c>
      <c r="N35" s="380">
        <f>'Phy activity RRs'!$G$4</f>
        <v>0.93831941951583364</v>
      </c>
      <c r="O35" s="373">
        <f>IF(('user page'!$R$36=0),$N35^(I35^0.25),IF(('user page'!$R$36=1),$N35^(I35^0.5),IF(('user page'!$R$36=2),$N35^(I35^0.375),IF(('user page'!$R$36=4),$N35^(I35),IF(('user page'!$R$36=3),$N35^(LN(1+I35)),"")))))</f>
        <v>0.98006871247951299</v>
      </c>
      <c r="P35" s="373">
        <f>IF(('user page'!$R$36=0),$N35^(J35^0.25),IF(('user page'!$R$36=1),$N35^(J35^0.5),IF(('user page'!$R$36=2),$N35^(J35^0.375),IF(('user page'!$R$36=4),$N35^(J35),IF(('user page'!$R$36=3),$N35^(LN(1+J35)),"")))))</f>
        <v>0.98006871247951299</v>
      </c>
      <c r="Q35" s="373">
        <f>IF(('user page'!$R$36=0),$N35^(K35^0.25),IF(('user page'!$R$36=1),$N35^(K35^0.5),IF(('user page'!$R$36=2),$N35^(K35^0.375),IF(('user page'!$R$36=4),$N35^(K35),IF(('user page'!$R$36=3),$N35^(LN(1+K35)),"")))))</f>
        <v>0.98006871247951299</v>
      </c>
      <c r="R35" s="373">
        <f>IF(('user page'!$R$36=0),$N35^(L35^0.25),IF(('user page'!$R$36=1),$N35^(L35^0.5),IF(('user page'!$R$36=2),$N35^(L35^0.375),IF(('user page'!$R$36=4),$N35^(L35),IF(('user page'!$R$36=3),$N35^(LN(1+L35)),"")))))</f>
        <v>0.98006871247951299</v>
      </c>
      <c r="S35" s="373">
        <f>IF(('user page'!$R$36=0),$N35^(M35^0.25),IF(('user page'!$R$36=1),$N35^(M35^0.5),IF(('user page'!$R$36=2),$N35^(M35^0.375),IF(('user page'!$R$36=4),$N35^(M35),IF(('user page'!$R$36=3),$N35^(LN(1+M35)),"")))))</f>
        <v>0.88865495190459975</v>
      </c>
      <c r="T35" s="374">
        <f t="shared" si="25"/>
        <v>1</v>
      </c>
      <c r="U35" s="374">
        <f t="shared" si="25"/>
        <v>1</v>
      </c>
      <c r="V35" s="374">
        <f t="shared" si="25"/>
        <v>1</v>
      </c>
      <c r="W35" s="375">
        <f t="shared" si="25"/>
        <v>1</v>
      </c>
      <c r="X35" s="375">
        <f t="shared" si="25"/>
        <v>0.90672719227650667</v>
      </c>
      <c r="Y35" s="374"/>
      <c r="Z35" s="376"/>
      <c r="AA35" s="376"/>
      <c r="AB35" s="372">
        <f>GBDNZ!E86/($T35+$U35+$X35+V35+W35)</f>
        <v>274.01516956482811</v>
      </c>
      <c r="AC35" s="376">
        <f t="shared" si="26"/>
        <v>274.01516956482811</v>
      </c>
      <c r="AD35" s="376">
        <f t="shared" si="26"/>
        <v>274.01516956482811</v>
      </c>
      <c r="AE35" s="376">
        <f t="shared" si="26"/>
        <v>274.01516956482811</v>
      </c>
      <c r="AF35" s="376">
        <f t="shared" si="26"/>
        <v>248.45700534068749</v>
      </c>
      <c r="AG35" s="372">
        <f>GBDNZ!F86/($T35+$U35+$X35+V35+W35)</f>
        <v>1564.7528468233077</v>
      </c>
      <c r="AH35" s="376">
        <f t="shared" si="27"/>
        <v>1564.7528468233077</v>
      </c>
      <c r="AI35" s="376">
        <f t="shared" si="27"/>
        <v>1564.7528468233077</v>
      </c>
      <c r="AJ35" s="376">
        <f t="shared" si="27"/>
        <v>1564.7528468233077</v>
      </c>
      <c r="AK35" s="376">
        <f t="shared" si="27"/>
        <v>1418.8039554067684</v>
      </c>
      <c r="AL35" s="372">
        <f>GBDNZ!G86/($T35+$U35+$X35+V35+W35)</f>
        <v>56.419440162835045</v>
      </c>
      <c r="AM35" s="376">
        <f t="shared" si="28"/>
        <v>56.419440162835045</v>
      </c>
      <c r="AN35" s="376">
        <f t="shared" si="28"/>
        <v>56.419440162835045</v>
      </c>
      <c r="AO35" s="376">
        <f t="shared" si="28"/>
        <v>56.419440162835045</v>
      </c>
      <c r="AP35" s="376">
        <f t="shared" si="28"/>
        <v>51.157040568659795</v>
      </c>
      <c r="AQ35" s="373"/>
      <c r="AR35" s="373"/>
      <c r="AS35" s="373"/>
      <c r="AT35" s="373"/>
      <c r="AU35" s="384"/>
      <c r="AV35" s="384"/>
      <c r="AW35" s="384"/>
      <c r="AX35" s="384"/>
    </row>
  </sheetData>
  <mergeCells count="9">
    <mergeCell ref="AG1:AK1"/>
    <mergeCell ref="AL1:AP1"/>
    <mergeCell ref="AQ1:AT1"/>
    <mergeCell ref="AU1:AX1"/>
    <mergeCell ref="D1:H1"/>
    <mergeCell ref="I1:M1"/>
    <mergeCell ref="O1:S1"/>
    <mergeCell ref="T1:X1"/>
    <mergeCell ref="AB1:AF1"/>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
  <sheetViews>
    <sheetView workbookViewId="0">
      <selection activeCell="E15" sqref="E15"/>
    </sheetView>
  </sheetViews>
  <sheetFormatPr defaultColWidth="9.1796875" defaultRowHeight="12.5" x14ac:dyDescent="0.25"/>
  <cols>
    <col min="1" max="1" width="18.453125" style="322" customWidth="1"/>
    <col min="2" max="2" width="16.26953125" style="322" customWidth="1"/>
    <col min="3" max="6" width="9.1796875" style="322"/>
    <col min="7" max="8" width="9.1796875" style="545"/>
    <col min="9" max="12" width="9.1796875" style="322"/>
    <col min="13" max="13" width="12" style="322" customWidth="1"/>
    <col min="14" max="14" width="11.81640625" style="322" customWidth="1"/>
    <col min="15" max="16384" width="9.1796875" style="322"/>
  </cols>
  <sheetData>
    <row r="1" spans="1:15" x14ac:dyDescent="0.25">
      <c r="L1" s="319" t="s">
        <v>171</v>
      </c>
      <c r="M1" s="266"/>
      <c r="N1" s="319" t="s">
        <v>170</v>
      </c>
    </row>
    <row r="2" spans="1:15" x14ac:dyDescent="0.25">
      <c r="A2" s="446"/>
      <c r="B2" s="446"/>
      <c r="C2" s="447" t="str">
        <f>'Visions person'!C4</f>
        <v>Baseline 2013 (0)</v>
      </c>
      <c r="D2" s="448" t="str">
        <f>'Visions person'!E4</f>
        <v>Base case 2043 (1)</v>
      </c>
      <c r="E2" s="448" t="str">
        <f>'Visions person'!G4</f>
        <v>Scenario A: staying close to the action (2)</v>
      </c>
      <c r="F2" s="448" t="str">
        <f>'Visions person'!I4</f>
        <v>Scenario B: metro-connected (3)</v>
      </c>
      <c r="G2" s="448" t="str">
        <f>'Visions person'!K4</f>
        <v>Scenario C: the golden triangle (4)</v>
      </c>
      <c r="H2" s="448" t="str">
        <f>'Visions person'!M4</f>
        <v>Scenario D: @home in town and country (5)</v>
      </c>
      <c r="I2" s="448" t="str">
        <f>'Visions person'!O4</f>
        <v>What if (6)</v>
      </c>
      <c r="J2" s="448"/>
      <c r="L2" s="265" t="s">
        <v>168</v>
      </c>
      <c r="M2" s="263"/>
      <c r="N2" s="267">
        <v>8.6180000000000007E-3</v>
      </c>
    </row>
    <row r="3" spans="1:15" ht="14.5" x14ac:dyDescent="0.25">
      <c r="A3" s="449" t="s">
        <v>247</v>
      </c>
      <c r="B3" s="450" t="s">
        <v>70</v>
      </c>
      <c r="C3" s="451">
        <v>5.9</v>
      </c>
      <c r="D3" s="452">
        <f>$C$3-(3.17*D4 +0.23)/1000</f>
        <v>5.9081901865084738</v>
      </c>
      <c r="E3" s="452">
        <f>$C$3-(3.17*E4 +0.23)/1000</f>
        <v>5.8499639773649852</v>
      </c>
      <c r="F3" s="452">
        <f>$C$3-(3.17*F4 +0.23)/1000</f>
        <v>5.9033512679423303</v>
      </c>
      <c r="G3" s="452">
        <f t="shared" ref="G3:H3" si="0">$C$3-(3.17*G4 +0.23)/1000</f>
        <v>5.9185092536526529</v>
      </c>
      <c r="H3" s="452">
        <f t="shared" si="0"/>
        <v>5.868252477693817</v>
      </c>
      <c r="I3" s="452">
        <f>$C$3-(3.17*I4 +0.23)/1000</f>
        <v>5.8910512614089212</v>
      </c>
      <c r="J3" s="453"/>
      <c r="L3" s="323" t="s">
        <v>139</v>
      </c>
      <c r="M3" s="263"/>
      <c r="N3" s="268">
        <f>(LN(1.14)/10)</f>
        <v>1.31028262406404E-2</v>
      </c>
    </row>
    <row r="4" spans="1:15" x14ac:dyDescent="0.25">
      <c r="A4" s="255" t="s">
        <v>382</v>
      </c>
      <c r="B4" s="313"/>
      <c r="C4" s="397">
        <v>0</v>
      </c>
      <c r="D4" s="397">
        <f>100*('Visions person'!C39-'Visions person'!E39)/'Visions person'!C39</f>
        <v>-2.6562102550389013</v>
      </c>
      <c r="E4" s="397">
        <f>100*('Visions person'!C39-'Visions person'!G39)/'Visions person'!$C$39</f>
        <v>15.711679064673563</v>
      </c>
      <c r="F4" s="397">
        <f>100*('Visions person'!C39-'Visions person'!I39)/'Visions person'!$C$39</f>
        <v>-1.12973752123975</v>
      </c>
      <c r="G4" s="397">
        <f>100*('Visions person'!C39-'Visions person'!K39)/'Visions person'!$C$39</f>
        <v>-5.9114364834865114</v>
      </c>
      <c r="H4" s="397">
        <f>100*('Visions person'!C39-'Visions person'!M39)/'Visions person'!$C$39</f>
        <v>9.9424360587328096</v>
      </c>
      <c r="I4" s="397">
        <f>100*('Visions person'!C39-(1-'Visions person'!O69)*'Visions person'!O39)/'Visions person'!$C$39</f>
        <v>2.7503907227378885</v>
      </c>
      <c r="J4" s="315"/>
      <c r="L4" s="323" t="s">
        <v>169</v>
      </c>
      <c r="M4" s="264"/>
      <c r="N4" s="268">
        <f>2*(LN(1.05)/10)</f>
        <v>9.7580328338864094E-3</v>
      </c>
      <c r="O4" s="322" t="s">
        <v>174</v>
      </c>
    </row>
    <row r="5" spans="1:15" x14ac:dyDescent="0.25">
      <c r="A5" s="255"/>
      <c r="B5" s="313"/>
      <c r="C5" s="314"/>
      <c r="D5" s="314"/>
      <c r="E5" s="314"/>
      <c r="F5" s="314"/>
      <c r="G5" s="314"/>
      <c r="H5" s="314"/>
      <c r="I5" s="314"/>
      <c r="J5" s="314"/>
    </row>
    <row r="6" spans="1:15" x14ac:dyDescent="0.25">
      <c r="A6" s="255"/>
      <c r="B6" s="240"/>
      <c r="C6" s="248"/>
      <c r="D6" s="186"/>
      <c r="E6" s="186"/>
      <c r="F6" s="186"/>
      <c r="G6" s="186"/>
      <c r="H6" s="186"/>
      <c r="I6" s="186"/>
      <c r="J6" s="186"/>
    </row>
  </sheetData>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L6" sqref="L6"/>
    </sheetView>
  </sheetViews>
  <sheetFormatPr defaultColWidth="8.81640625" defaultRowHeight="12.5" x14ac:dyDescent="0.25"/>
  <cols>
    <col min="1" max="1" width="28.7265625" style="680" customWidth="1"/>
    <col min="2" max="2" width="11.453125" style="680" customWidth="1"/>
    <col min="3" max="3" width="26.1796875" style="680" customWidth="1"/>
    <col min="4" max="4" width="12.81640625" style="680" customWidth="1"/>
    <col min="5" max="5" width="21.1796875" style="680" customWidth="1"/>
    <col min="6" max="6" width="18.453125" style="680" customWidth="1"/>
    <col min="7" max="7" width="23.453125" style="680" bestFit="1" customWidth="1"/>
    <col min="8" max="8" width="33.453125" style="680" customWidth="1"/>
    <col min="9" max="9" width="17.26953125" style="680" customWidth="1"/>
    <col min="10" max="10" width="14.26953125" style="680" bestFit="1" customWidth="1"/>
    <col min="11" max="16384" width="8.81640625" style="680"/>
  </cols>
  <sheetData>
    <row r="1" spans="1:9" s="688" customFormat="1" ht="25" x14ac:dyDescent="0.5">
      <c r="A1" s="688" t="s">
        <v>393</v>
      </c>
      <c r="E1" s="688" t="s">
        <v>61</v>
      </c>
      <c r="F1" s="735">
        <f>'user page'!Y1</f>
        <v>1</v>
      </c>
      <c r="G1" s="688" t="str">
        <f>'user page'!AA1</f>
        <v>Base case 2043 (1)</v>
      </c>
    </row>
    <row r="2" spans="1:9" ht="15.5" x14ac:dyDescent="0.35">
      <c r="A2" s="683" t="s">
        <v>392</v>
      </c>
      <c r="B2" s="683"/>
      <c r="C2" s="683"/>
      <c r="D2" s="683"/>
      <c r="E2" s="683"/>
    </row>
    <row r="3" spans="1:9" s="686" customFormat="1" ht="15.5" x14ac:dyDescent="0.35">
      <c r="A3" s="687"/>
      <c r="B3" s="687" t="s">
        <v>391</v>
      </c>
      <c r="C3" s="687" t="s">
        <v>390</v>
      </c>
      <c r="D3" s="687" t="s">
        <v>404</v>
      </c>
      <c r="E3" s="687" t="s">
        <v>395</v>
      </c>
      <c r="F3" s="687" t="s">
        <v>396</v>
      </c>
      <c r="G3" s="687" t="s">
        <v>397</v>
      </c>
    </row>
    <row r="4" spans="1:9" ht="15.5" x14ac:dyDescent="0.35">
      <c r="A4" s="683" t="s">
        <v>403</v>
      </c>
      <c r="B4" s="684" t="s">
        <v>398</v>
      </c>
      <c r="C4" s="681">
        <v>4057300</v>
      </c>
      <c r="D4" s="682">
        <f>SUM('Health summary'!AC11:AD11)</f>
        <v>15.28191347251413</v>
      </c>
      <c r="E4" s="681">
        <f>C4*D4</f>
        <v>62003307.532031581</v>
      </c>
      <c r="F4" s="681">
        <f>E4*1.03</f>
        <v>63863406.757992528</v>
      </c>
      <c r="G4" s="681">
        <f>(IF('Health summary'!AC13=0,0,(((C4*'Health summary'!AC3)*1.03)*'Health summary'!AC33/'Health summary'!AC13)))+(IF('Health summary'!AC14=0,0,(((C4*'Health summary'!AC4)*1.03)*'Health summary'!AC34/'Health summary'!AC14)))+(IF('Health summary'!AC15=0,0,(((C4*'Health summary'!AC5)*1.03)*'Health summary'!AC35/'Health summary'!AC15)))+(IF('Health summary'!AC16=0,0,(((C4*'Health summary'!AC6)*1.03)*'Health summary'!AC36/'Health summary'!AC16)))+(IF('Health summary'!AC17=0,0,(((C4*'Health summary'!AC7)*1.03)*'Health summary'!AC37/'Health summary'!AC17)))+(IF('Health summary'!AC18=0,0,(((C4*'Health summary'!AC8)*1.03)*'Health summary'!AC38/'Health summary'!AC18)))+(IF('Health summary'!AC19=0,0,(((C4*'Health summary'!AC9)*1.03)*'Health summary'!AC39/'Health summary'!AC19)))+(IF('Health summary'!AC20=0,0,(((C4*'Health summary'!AC10)*1.03)*'Health summary'!AC40/'Health summary'!AC20)))+(IF('Health summary'!AD13=0,0,(((C4*'Health summary'!AD3)*1.03)*'Health summary'!AD33/'Health summary'!AD13)))+(IF('Health summary'!AD14=0,0,(((C4*'Health summary'!AD4)*1.03)*'Health summary'!AD34/'Health summary'!AD14)))+(IF('Health summary'!AD15=0,0,(((C4*'Health summary'!AD5)*1.03)*'Health summary'!AD35/'Health summary'!AD15)))+(IF('Health summary'!AD16=0,0,(((C4*'Health summary'!AD6)*1.03)*'Health summary'!AD36/'Health summary'!AD16)))+(IF('Health summary'!AD17=0,0,(((C4*'Health summary'!AD7)*1.03)*'Health summary'!AD37/'Health summary'!AD17)))+(IF('Health summary'!AD18=0,0,(((C4*'Health summary'!AD8)*1.03)*'Health summary'!AD38/'Health summary'!AD18)))+(IF('Health summary'!AD19=0,0,(((C4*'Health summary'!AD9)*1.03)*'Health summary'!AD39/'Health summary'!AD19)))+(IF('Health summary'!AD20=0,0,(((C4*'Health summary'!AD10)*1.03)*'Health summary'!AD40/'Health summary'!AD20)))</f>
        <v>84393670.549052477</v>
      </c>
      <c r="I4" s="685"/>
    </row>
    <row r="5" spans="1:9" ht="15.5" x14ac:dyDescent="0.35">
      <c r="A5" s="683" t="s">
        <v>389</v>
      </c>
      <c r="B5" s="684" t="s">
        <v>398</v>
      </c>
      <c r="C5" s="681">
        <v>4057300</v>
      </c>
      <c r="D5" s="682">
        <f>SUM('Health summary'!AE11:AF11)</f>
        <v>21.850520434112362</v>
      </c>
      <c r="E5" s="681">
        <f>C5*D5</f>
        <v>88654116.557324082</v>
      </c>
      <c r="F5" s="681">
        <f>E5*1.03</f>
        <v>91313740.0540438</v>
      </c>
      <c r="G5" s="681">
        <f>(IF('Health summary'!AE13=0,0,(((C5*'Health summary'!AE3)*1.03)*'Health summary'!AE33/'Health summary'!AE13)))+(IF('Health summary'!AE14=0,0,(((C5*'Health summary'!AE4)*1.03)*'Health summary'!AE34/'Health summary'!AE14)))+(IF('Health summary'!AE15=0,0,(((C5*'Health summary'!AE5)*1.03)*'Health summary'!AE35/'Health summary'!AE15)))+(IF('Health summary'!AE16=0,0,(((C5*'Health summary'!AE6)*1.03)*'Health summary'!AE36/'Health summary'!AE16)))+(IF('Health summary'!AE17=0,0,(((C5*'Health summary'!AE7)*1.03)*'Health summary'!AE37/'Health summary'!AE17)))+(IF('Health summary'!AE18=0,0,(((C5*'Health summary'!AE8)*1.03)*'Health summary'!AE38/'Health summary'!AE18)))+(IF('Health summary'!AE19=0,0,(((C5*'Health summary'!AE9)*1.03)*'Health summary'!AE39/'Health summary'!AE19)))+(IF('Health summary'!AE20=0,0,(((C5*'Health summary'!AE10)*1.03)*'Health summary'!AE40/'Health summary'!AE20)))+(IF('Health summary'!AF13=0,0,(((C5*'Health summary'!AF3)*1.03)*'Health summary'!AF33/'Health summary'!AF13)))+(IF('Health summary'!AF14=0,0,(((C5*'Health summary'!AF4)*1.03)*'Health summary'!AF34/'Health summary'!AF14)))+(IF('Health summary'!AF15=0,0,(((C5*'Health summary'!AF5)*1.03)*'Health summary'!AF35/'Health summary'!AF15)))+(IF('Health summary'!AF16=0,0,(((C5*'Health summary'!AF6)*1.03)*'Health summary'!AF36/'Health summary'!AF16)))+(IF('Health summary'!AF17=0,0,(((C5*'Health summary'!AF7)*1.03)*'Health summary'!AF37/'Health summary'!AF17)))+(IF('Health summary'!AF18=0,0,(((C5*'Health summary'!AF8)*1.03)*'Health summary'!AF38/'Health summary'!AF18)))+(IF('Health summary'!AF19=0,0,(((C5*'Health summary'!AF9)*1.03)*'Health summary'!AF39/'Health summary'!AF19)))+(IF('Health summary'!AF20=0,0,(((C5*'Health summary'!AF10)*1.03)*'Health summary'!AF40/'Health summary'!AF20)))</f>
        <v>91313740.054043785</v>
      </c>
    </row>
    <row r="7" spans="1:9" hidden="1" x14ac:dyDescent="0.25"/>
    <row r="8" spans="1:9" hidden="1" x14ac:dyDescent="0.25"/>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1:7" hidden="1" x14ac:dyDescent="0.25"/>
    <row r="34" spans="1:7" hidden="1" x14ac:dyDescent="0.25"/>
    <row r="35" spans="1:7" hidden="1" x14ac:dyDescent="0.25"/>
    <row r="36" spans="1:7" hidden="1" x14ac:dyDescent="0.25"/>
    <row r="37" spans="1:7" hidden="1" x14ac:dyDescent="0.25"/>
    <row r="38" spans="1:7" hidden="1" x14ac:dyDescent="0.25"/>
    <row r="39" spans="1:7" hidden="1" x14ac:dyDescent="0.25"/>
    <row r="40" spans="1:7" hidden="1" x14ac:dyDescent="0.25"/>
    <row r="44" spans="1:7" ht="13" x14ac:dyDescent="0.3">
      <c r="A44" s="788" t="s">
        <v>457</v>
      </c>
    </row>
    <row r="45" spans="1:7" ht="13" x14ac:dyDescent="0.3">
      <c r="A45" s="788"/>
    </row>
    <row r="46" spans="1:7" ht="15.5" x14ac:dyDescent="0.35">
      <c r="A46" s="687" t="s">
        <v>458</v>
      </c>
    </row>
    <row r="47" spans="1:7" ht="15.5" x14ac:dyDescent="0.35">
      <c r="A47" s="687"/>
      <c r="B47" s="687" t="s">
        <v>391</v>
      </c>
      <c r="C47" s="687" t="s">
        <v>390</v>
      </c>
      <c r="D47" s="687" t="s">
        <v>404</v>
      </c>
      <c r="E47" s="687" t="s">
        <v>395</v>
      </c>
      <c r="F47" s="687" t="s">
        <v>396</v>
      </c>
      <c r="G47" s="687" t="s">
        <v>397</v>
      </c>
    </row>
    <row r="48" spans="1:7" ht="15.5" x14ac:dyDescent="0.35">
      <c r="A48" s="683" t="s">
        <v>403</v>
      </c>
      <c r="B48" s="684" t="s">
        <v>398</v>
      </c>
      <c r="C48" s="681">
        <v>4057300</v>
      </c>
      <c r="D48" s="790">
        <f>SUM('Health summary'!AC55:AD55)</f>
        <v>39.012805630489112</v>
      </c>
      <c r="E48" s="789">
        <f>C48*D48</f>
        <v>158286656.28458348</v>
      </c>
      <c r="F48" s="789">
        <f>E48*1.03</f>
        <v>163035255.97312099</v>
      </c>
      <c r="G48" s="681">
        <f>(IF('Health summary'!AC57=0,0,(((C48*'Health summary'!AC47)*1.03)*'Health summary'!AC77/'Health summary'!AC57)))+(IF('Health summary'!AC58=0,0,(((C48*'Health summary'!AC48)*1.03)*'Health summary'!AC78/'Health summary'!AC58)))+(IF('Health summary'!AC59=0,0,(((C48*'Health summary'!AC49)*1.03)*'Health summary'!AC79/'Health summary'!AC59)))+(IF('Health summary'!AC60=0,0,(((C48*'Health summary'!AC50)*1.03)*'Health summary'!AC80/'Health summary'!AC60)))+(IF('Health summary'!AC61=0,0,(((C48*'Health summary'!AC51)*1.03)*'Health summary'!AC81/'Health summary'!AC61)))+(IF('Health summary'!AC62=0,0,(((C48*'Health summary'!AC52)*1.03)*'Health summary'!AC82/'Health summary'!AC62)))+(IF('Health summary'!AC63=0,0,(((C48*'Health summary'!AC53)*1.03)*'Health summary'!AC83/'Health summary'!AC63)))+(IF('Health summary'!AC64=0,0,(((C48*'Health summary'!AC54)*1.03)*'Health summary'!AC84/'Health summary'!AC64)))+(IF('Health summary'!AD57=0,0,(((C48*'Health summary'!AD47)*1.03)*'Health summary'!AD77/'Health summary'!AD57)))+(IF('Health summary'!AD58=0,0,(((C48*'Health summary'!AD48)*1.03)*'Health summary'!AD78/'Health summary'!AD58)))+(IF('Health summary'!AD59=0,0,(((C48*'Health summary'!AD49)*1.03)*'Health summary'!AD79/'Health summary'!AD59)))+(IF('Health summary'!AD60=0,0,(((C48*'Health summary'!AD50)*1.03)*'Health summary'!AD80/'Health summary'!AD60)))+(IF('Health summary'!AD61=0,0,(((C48*'Health summary'!AD51)*1.03)*'Health summary'!AD81/'Health summary'!AD61)))+(IF('Health summary'!AD62=0,0,(((C48*'Health summary'!AD52)*1.03)*'Health summary'!AD82/'Health summary'!AD62)))+(IF('Health summary'!AD63=0,0,(((C48*'Health summary'!AD53)*1.03)*'Health summary'!AD83/'Health summary'!AD63)))+(IF('Health summary'!AD64=0,0,(((C48*'Health summary'!AD54)*1.03)*'Health summary'!AD84/'Health summary'!AD64)))</f>
        <v>212720359.13960868</v>
      </c>
    </row>
    <row r="49" spans="1:7" ht="15.5" x14ac:dyDescent="0.35">
      <c r="A49" s="683" t="s">
        <v>389</v>
      </c>
      <c r="B49" s="684" t="s">
        <v>398</v>
      </c>
      <c r="C49" s="681">
        <v>4057300</v>
      </c>
      <c r="D49" s="790">
        <f>SUM('Health summary'!AE55:AF55)</f>
        <v>59.842737776100023</v>
      </c>
      <c r="E49" s="789">
        <f>C49*D49</f>
        <v>242799939.97897062</v>
      </c>
      <c r="F49" s="789">
        <f>E49*1.03</f>
        <v>250083938.17833975</v>
      </c>
      <c r="G49" s="681">
        <f>(IF('Health summary'!AE57=0,0,(((C49*'Health summary'!AE47)*1.03)*'Health summary'!AE77/'Health summary'!AE57)))+(IF('Health summary'!AE58=0,0,(((C49*'Health summary'!AE48)*1.03)*'Health summary'!AE78/'Health summary'!AE58)))+(IF('Health summary'!AE59=0,0,(((C49*'Health summary'!AE49)*1.03)*'Health summary'!AE79/'Health summary'!AE59)))+(IF('Health summary'!AE60=0,0,(((C49*'Health summary'!AE50)*1.03)*'Health summary'!AE80/'Health summary'!AE60)))+(IF('Health summary'!AE61=0,0,(((C49*'Health summary'!AE51)*1.03)*'Health summary'!AE81/'Health summary'!AE61)))+(IF('Health summary'!AE62=0,0,(((C49*'Health summary'!AE52)*1.03)*'Health summary'!AE82/'Health summary'!AE62)))+(IF('Health summary'!AE63=0,0,(((C49*'Health summary'!AE53)*1.03)*'Health summary'!AE83/'Health summary'!AE63)))+(IF('Health summary'!AE64=0,0,(((C49*'Health summary'!AE54)*1.03)*'Health summary'!AE84/'Health summary'!AE64)))+(IF('Health summary'!AF57=0,0,(((C49*'Health summary'!AF47)*1.03)*'Health summary'!AF77/'Health summary'!AF57)))+(IF('Health summary'!AF58=0,0,(((C49*'Health summary'!AF48)*1.03)*'Health summary'!AF78/'Health summary'!AF58)))+(IF('Health summary'!AF59=0,0,(((C49*'Health summary'!AF49)*1.03)*'Health summary'!AF79/'Health summary'!AF59)))+(IF('Health summary'!AF60=0,0,(((C49*'Health summary'!AF50)*1.03)*'Health summary'!AF80/'Health summary'!AF60)))+(IF('Health summary'!AF61=0,0,(((C49*'Health summary'!AF51)*1.03)*'Health summary'!AF81/'Health summary'!AF61)))+(IF('Health summary'!AF62=0,0,(((C49*'Health summary'!AF52)*1.03)*'Health summary'!AF82/'Health summary'!AF62)))+(IF('Health summary'!AF63=0,0,(((C49*'Health summary'!AF53)*1.03)*'Health summary'!AF83/'Health summary'!AF63)))+(IF('Health summary'!AF64=0,0,(((C49*'Health summary'!AF54)*1.03)*'Health summary'!AF84/'Health summary'!AF64)))</f>
        <v>250083938.17833975</v>
      </c>
    </row>
  </sheetData>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5"/>
  <sheetViews>
    <sheetView workbookViewId="0">
      <pane ySplit="1" topLeftCell="A2" activePane="bottomLeft" state="frozen"/>
      <selection pane="bottomLeft" activeCell="U16" sqref="U16"/>
    </sheetView>
  </sheetViews>
  <sheetFormatPr defaultColWidth="11.453125" defaultRowHeight="12.5" x14ac:dyDescent="0.25"/>
  <cols>
    <col min="1" max="1" width="36.54296875" style="322" bestFit="1" customWidth="1"/>
    <col min="2" max="2" width="9" style="322" bestFit="1" customWidth="1"/>
    <col min="3" max="3" width="14.54296875" style="322" customWidth="1"/>
    <col min="4" max="4" width="8" style="322" bestFit="1" customWidth="1"/>
    <col min="5" max="5" width="56.1796875" style="322" customWidth="1"/>
    <col min="6" max="6" width="8.453125" style="322" bestFit="1" customWidth="1"/>
    <col min="7" max="7" width="6.54296875" style="322" bestFit="1" customWidth="1"/>
    <col min="8" max="8" width="14.7265625" style="322" bestFit="1" customWidth="1"/>
    <col min="9" max="9" width="8.453125" style="322" bestFit="1" customWidth="1"/>
    <col min="10" max="10" width="14.81640625" style="322" bestFit="1" customWidth="1"/>
    <col min="11" max="11" width="14.1796875" style="322" bestFit="1" customWidth="1"/>
    <col min="12" max="12" width="17" style="322" bestFit="1" customWidth="1"/>
    <col min="13" max="13" width="11.7265625" style="322" bestFit="1" customWidth="1"/>
    <col min="14" max="14" width="11.54296875" style="322" bestFit="1" customWidth="1"/>
    <col min="15" max="15" width="8.7265625" style="322" bestFit="1" customWidth="1"/>
    <col min="16" max="16" width="12" style="322" bestFit="1" customWidth="1"/>
    <col min="17" max="17" width="10.81640625" style="322" bestFit="1" customWidth="1"/>
    <col min="18" max="18" width="4.1796875" style="322" bestFit="1" customWidth="1"/>
    <col min="19" max="19" width="10" style="322" bestFit="1" customWidth="1"/>
    <col min="20" max="20" width="13.7265625" style="322" bestFit="1" customWidth="1"/>
    <col min="21" max="21" width="14.26953125" style="188" bestFit="1" customWidth="1"/>
    <col min="22" max="22" width="13.453125" style="322" customWidth="1"/>
    <col min="23" max="23" width="17.81640625" customWidth="1"/>
  </cols>
  <sheetData>
    <row r="1" spans="1:23" ht="15.5" x14ac:dyDescent="0.35">
      <c r="A1" s="422" t="s">
        <v>258</v>
      </c>
      <c r="B1" s="422" t="s">
        <v>198</v>
      </c>
      <c r="C1" s="422" t="s">
        <v>199</v>
      </c>
      <c r="D1" s="422" t="s">
        <v>200</v>
      </c>
      <c r="E1" s="422" t="s">
        <v>201</v>
      </c>
      <c r="F1" s="422" t="s">
        <v>202</v>
      </c>
      <c r="G1" s="422" t="s">
        <v>203</v>
      </c>
      <c r="H1" s="422" t="s">
        <v>408</v>
      </c>
      <c r="I1" s="422" t="s">
        <v>205</v>
      </c>
      <c r="J1" s="422" t="s">
        <v>206</v>
      </c>
      <c r="K1" s="422" t="s">
        <v>207</v>
      </c>
      <c r="L1" s="422" t="s">
        <v>208</v>
      </c>
      <c r="M1" s="422" t="s">
        <v>209</v>
      </c>
      <c r="N1" s="422" t="s">
        <v>210</v>
      </c>
      <c r="O1" s="422" t="s">
        <v>211</v>
      </c>
      <c r="P1" s="422" t="s">
        <v>212</v>
      </c>
      <c r="Q1" s="422" t="s">
        <v>213</v>
      </c>
      <c r="R1" s="422" t="s">
        <v>67</v>
      </c>
      <c r="S1" s="422" t="s">
        <v>214</v>
      </c>
      <c r="T1" s="422" t="s">
        <v>215</v>
      </c>
      <c r="U1" s="423" t="s">
        <v>216</v>
      </c>
      <c r="V1" s="422" t="s">
        <v>237</v>
      </c>
      <c r="W1" s="422" t="s">
        <v>283</v>
      </c>
    </row>
    <row r="2" spans="1:23" s="655" customFormat="1" ht="15.5" x14ac:dyDescent="0.35">
      <c r="A2" s="655" t="str">
        <f t="shared" ref="A2:A20" si="0">C2&amp;"_"&amp;D2&amp;"_"&amp;L2&amp;"_"&amp;O2&amp;"_"&amp;Q2&amp;"_"&amp;R2</f>
        <v>Base2013_1_auto (driver)___</v>
      </c>
      <c r="B2" s="652"/>
      <c r="C2" s="652" t="s">
        <v>383</v>
      </c>
      <c r="D2" s="652">
        <v>1</v>
      </c>
      <c r="E2" s="652" t="s">
        <v>255</v>
      </c>
      <c r="F2" s="652" t="s">
        <v>256</v>
      </c>
      <c r="G2" s="652"/>
      <c r="H2" s="653" t="s">
        <v>365</v>
      </c>
      <c r="I2" s="652"/>
      <c r="J2" s="652"/>
      <c r="K2" s="652"/>
      <c r="L2" s="652" t="s">
        <v>251</v>
      </c>
      <c r="M2" s="652"/>
      <c r="N2" s="652"/>
      <c r="O2" s="652"/>
      <c r="P2" s="652"/>
      <c r="Q2" s="652"/>
      <c r="R2" s="652"/>
      <c r="S2" s="652"/>
      <c r="T2" s="652"/>
      <c r="U2" s="746">
        <f>'MoT Travel Input'!E27</f>
        <v>30.362933721340696</v>
      </c>
      <c r="V2" s="654">
        <v>42583</v>
      </c>
      <c r="W2" s="653" t="s">
        <v>366</v>
      </c>
    </row>
    <row r="3" spans="1:23" s="655" customFormat="1" ht="15.5" x14ac:dyDescent="0.35">
      <c r="A3" s="655" t="str">
        <f t="shared" si="0"/>
        <v>Base2013_1_auto (passenger)___</v>
      </c>
      <c r="B3" s="652"/>
      <c r="C3" s="652" t="s">
        <v>383</v>
      </c>
      <c r="D3" s="652">
        <v>1</v>
      </c>
      <c r="E3" s="652" t="s">
        <v>255</v>
      </c>
      <c r="F3" s="652" t="s">
        <v>256</v>
      </c>
      <c r="G3" s="652"/>
      <c r="H3" s="653" t="s">
        <v>365</v>
      </c>
      <c r="I3" s="652"/>
      <c r="J3" s="652"/>
      <c r="K3" s="652"/>
      <c r="L3" s="652" t="s">
        <v>252</v>
      </c>
      <c r="M3" s="652"/>
      <c r="N3" s="652"/>
      <c r="O3" s="652"/>
      <c r="P3" s="652"/>
      <c r="Q3" s="652"/>
      <c r="R3" s="652"/>
      <c r="S3" s="652"/>
      <c r="T3" s="652"/>
      <c r="U3" s="746">
        <f>'MoT Travel Input'!E28</f>
        <v>15.917639558108148</v>
      </c>
      <c r="V3" s="654">
        <v>42583</v>
      </c>
      <c r="W3" s="653" t="s">
        <v>366</v>
      </c>
    </row>
    <row r="4" spans="1:23" s="655" customFormat="1" ht="15.5" x14ac:dyDescent="0.35">
      <c r="A4" s="655" t="str">
        <f t="shared" si="0"/>
        <v>Base2013_1_bike___</v>
      </c>
      <c r="B4" s="652"/>
      <c r="C4" s="652" t="s">
        <v>383</v>
      </c>
      <c r="D4" s="652">
        <v>1</v>
      </c>
      <c r="E4" s="652" t="s">
        <v>255</v>
      </c>
      <c r="F4" s="652" t="s">
        <v>256</v>
      </c>
      <c r="G4" s="652"/>
      <c r="H4" s="653" t="s">
        <v>365</v>
      </c>
      <c r="I4" s="652"/>
      <c r="J4" s="652"/>
      <c r="K4" s="652"/>
      <c r="L4" s="652" t="s">
        <v>248</v>
      </c>
      <c r="M4" s="652"/>
      <c r="N4" s="652"/>
      <c r="O4" s="652"/>
      <c r="P4" s="652"/>
      <c r="Q4" s="652"/>
      <c r="R4" s="652"/>
      <c r="S4" s="652"/>
      <c r="T4" s="652"/>
      <c r="U4" s="746">
        <f>'MoT Travel Input'!E29</f>
        <v>0.92258862520478857</v>
      </c>
      <c r="V4" s="654">
        <v>42583</v>
      </c>
      <c r="W4" s="653" t="s">
        <v>366</v>
      </c>
    </row>
    <row r="5" spans="1:23" s="655" customFormat="1" ht="15.5" x14ac:dyDescent="0.35">
      <c r="A5" s="655" t="str">
        <f t="shared" si="0"/>
        <v>Base2013_1_bus___</v>
      </c>
      <c r="B5" s="652"/>
      <c r="C5" s="652" t="s">
        <v>383</v>
      </c>
      <c r="D5" s="652">
        <v>1</v>
      </c>
      <c r="E5" s="652" t="s">
        <v>255</v>
      </c>
      <c r="F5" s="652" t="s">
        <v>256</v>
      </c>
      <c r="G5" s="652"/>
      <c r="H5" s="653" t="s">
        <v>365</v>
      </c>
      <c r="I5" s="652"/>
      <c r="J5" s="652"/>
      <c r="K5" s="652"/>
      <c r="L5" s="652" t="s">
        <v>93</v>
      </c>
      <c r="M5" s="652"/>
      <c r="N5" s="652"/>
      <c r="O5" s="652"/>
      <c r="P5" s="652"/>
      <c r="Q5" s="652"/>
      <c r="R5" s="652"/>
      <c r="S5" s="652"/>
      <c r="T5" s="652"/>
      <c r="U5" s="746">
        <f>'MoT Travel Input'!E30</f>
        <v>1.9604337253308775</v>
      </c>
      <c r="V5" s="654">
        <v>42583</v>
      </c>
      <c r="W5" s="653" t="s">
        <v>366</v>
      </c>
    </row>
    <row r="6" spans="1:23" s="655" customFormat="1" ht="15.5" x14ac:dyDescent="0.35">
      <c r="A6" s="655" t="str">
        <f t="shared" si="0"/>
        <v>Base2013_1_other___</v>
      </c>
      <c r="B6" s="652"/>
      <c r="C6" s="652" t="s">
        <v>383</v>
      </c>
      <c r="D6" s="652">
        <v>1</v>
      </c>
      <c r="E6" s="652" t="s">
        <v>255</v>
      </c>
      <c r="F6" s="652" t="s">
        <v>256</v>
      </c>
      <c r="G6" s="652"/>
      <c r="H6" s="653" t="s">
        <v>365</v>
      </c>
      <c r="I6" s="652"/>
      <c r="J6" s="652"/>
      <c r="K6" s="652"/>
      <c r="L6" s="652" t="s">
        <v>194</v>
      </c>
      <c r="M6" s="652"/>
      <c r="N6" s="652"/>
      <c r="O6" s="652"/>
      <c r="P6" s="652"/>
      <c r="Q6" s="652"/>
      <c r="R6" s="652"/>
      <c r="S6" s="652"/>
      <c r="T6" s="652"/>
      <c r="U6" s="746">
        <f>'MoT Travel Input'!E31</f>
        <v>0.66384844760755146</v>
      </c>
      <c r="V6" s="654">
        <v>42583</v>
      </c>
      <c r="W6" s="653" t="s">
        <v>366</v>
      </c>
    </row>
    <row r="7" spans="1:23" s="655" customFormat="1" ht="15.5" x14ac:dyDescent="0.35">
      <c r="A7" s="655" t="str">
        <f t="shared" si="0"/>
        <v>Base2013_1_rail___</v>
      </c>
      <c r="B7" s="652"/>
      <c r="C7" s="652" t="s">
        <v>383</v>
      </c>
      <c r="D7" s="652">
        <v>1</v>
      </c>
      <c r="E7" s="652" t="s">
        <v>255</v>
      </c>
      <c r="F7" s="652" t="s">
        <v>256</v>
      </c>
      <c r="G7" s="652"/>
      <c r="H7" s="653" t="s">
        <v>365</v>
      </c>
      <c r="I7" s="652"/>
      <c r="J7" s="652"/>
      <c r="K7" s="652"/>
      <c r="L7" s="652" t="s">
        <v>193</v>
      </c>
      <c r="M7" s="652"/>
      <c r="N7" s="652"/>
      <c r="O7" s="652"/>
      <c r="P7" s="652"/>
      <c r="Q7" s="652"/>
      <c r="R7" s="652"/>
      <c r="S7" s="652"/>
      <c r="T7" s="652"/>
      <c r="U7" s="746">
        <f>'MoT Travel Input'!E32</f>
        <v>0.44211907209217155</v>
      </c>
      <c r="V7" s="654">
        <v>42583</v>
      </c>
      <c r="W7" s="653" t="s">
        <v>366</v>
      </c>
    </row>
    <row r="8" spans="1:23" s="655" customFormat="1" ht="15.5" x14ac:dyDescent="0.35">
      <c r="A8" s="655" t="str">
        <f t="shared" si="0"/>
        <v>Base2013_1_walk___</v>
      </c>
      <c r="B8" s="652"/>
      <c r="C8" s="652" t="s">
        <v>383</v>
      </c>
      <c r="D8" s="652">
        <v>1</v>
      </c>
      <c r="E8" s="652" t="s">
        <v>255</v>
      </c>
      <c r="F8" s="652" t="s">
        <v>256</v>
      </c>
      <c r="G8" s="652"/>
      <c r="H8" s="653" t="s">
        <v>365</v>
      </c>
      <c r="I8" s="652"/>
      <c r="J8" s="652"/>
      <c r="K8" s="652"/>
      <c r="L8" s="652" t="s">
        <v>91</v>
      </c>
      <c r="M8" s="652"/>
      <c r="N8" s="652"/>
      <c r="O8" s="652"/>
      <c r="P8" s="652"/>
      <c r="Q8" s="652"/>
      <c r="R8" s="652"/>
      <c r="S8" s="652"/>
      <c r="T8" s="652"/>
      <c r="U8" s="746">
        <f>'MoT Travel Input'!E33</f>
        <v>7.5875798088939934</v>
      </c>
      <c r="V8" s="654">
        <v>42583</v>
      </c>
      <c r="W8" s="653" t="s">
        <v>366</v>
      </c>
    </row>
    <row r="9" spans="1:23" s="655" customFormat="1" ht="15.5" x14ac:dyDescent="0.35">
      <c r="A9" s="655" t="str">
        <f t="shared" si="0"/>
        <v>Base2013_3_auto (driver)___</v>
      </c>
      <c r="B9" s="652"/>
      <c r="C9" s="652" t="s">
        <v>383</v>
      </c>
      <c r="D9" s="652">
        <v>3</v>
      </c>
      <c r="E9" s="652" t="s">
        <v>257</v>
      </c>
      <c r="F9" s="653" t="s">
        <v>368</v>
      </c>
      <c r="G9" s="652"/>
      <c r="H9" s="653" t="s">
        <v>365</v>
      </c>
      <c r="I9" s="652"/>
      <c r="J9" s="652"/>
      <c r="K9" s="652"/>
      <c r="L9" s="652" t="s">
        <v>251</v>
      </c>
      <c r="M9" s="652"/>
      <c r="N9" s="652"/>
      <c r="O9" s="652"/>
      <c r="P9" s="652"/>
      <c r="Q9" s="652"/>
      <c r="R9" s="652"/>
      <c r="S9" s="652"/>
      <c r="T9" s="652"/>
      <c r="U9" s="746">
        <f>'MoT Travel Input'!E34</f>
        <v>18.735509382636394</v>
      </c>
      <c r="V9" s="654">
        <v>42583</v>
      </c>
      <c r="W9" s="653" t="s">
        <v>366</v>
      </c>
    </row>
    <row r="10" spans="1:23" s="655" customFormat="1" ht="15.5" x14ac:dyDescent="0.35">
      <c r="A10" s="655" t="str">
        <f t="shared" si="0"/>
        <v>Base2013_3_auto (passenger)___</v>
      </c>
      <c r="B10" s="652"/>
      <c r="C10" s="652" t="s">
        <v>383</v>
      </c>
      <c r="D10" s="652">
        <v>3</v>
      </c>
      <c r="E10" s="652" t="s">
        <v>257</v>
      </c>
      <c r="F10" s="653" t="s">
        <v>368</v>
      </c>
      <c r="G10" s="652"/>
      <c r="H10" s="653" t="s">
        <v>365</v>
      </c>
      <c r="I10" s="652"/>
      <c r="J10" s="652"/>
      <c r="K10" s="652"/>
      <c r="L10" s="652" t="s">
        <v>252</v>
      </c>
      <c r="M10" s="652"/>
      <c r="N10" s="652"/>
      <c r="O10" s="652"/>
      <c r="P10" s="652"/>
      <c r="Q10" s="652"/>
      <c r="R10" s="652"/>
      <c r="S10" s="652"/>
      <c r="T10" s="652"/>
      <c r="U10" s="746">
        <f>'MoT Travel Input'!E35</f>
        <v>10.550513653774031</v>
      </c>
      <c r="V10" s="654">
        <v>42583</v>
      </c>
      <c r="W10" s="653" t="s">
        <v>366</v>
      </c>
    </row>
    <row r="11" spans="1:23" s="655" customFormat="1" ht="15.5" x14ac:dyDescent="0.35">
      <c r="A11" s="655" t="str">
        <f t="shared" si="0"/>
        <v>Base2013_3_bike___</v>
      </c>
      <c r="B11" s="652"/>
      <c r="C11" s="652" t="s">
        <v>383</v>
      </c>
      <c r="D11" s="652">
        <v>3</v>
      </c>
      <c r="E11" s="652" t="s">
        <v>257</v>
      </c>
      <c r="F11" s="653" t="s">
        <v>368</v>
      </c>
      <c r="G11" s="652"/>
      <c r="H11" s="653" t="s">
        <v>365</v>
      </c>
      <c r="I11" s="652"/>
      <c r="J11" s="652"/>
      <c r="K11" s="652"/>
      <c r="L11" s="652" t="s">
        <v>248</v>
      </c>
      <c r="M11" s="652"/>
      <c r="N11" s="652"/>
      <c r="O11" s="652"/>
      <c r="P11" s="652"/>
      <c r="Q11" s="652"/>
      <c r="R11" s="652"/>
      <c r="S11" s="652"/>
      <c r="T11" s="652"/>
      <c r="U11" s="746">
        <f>'MoT Travel Input'!E36</f>
        <v>0.19280877535554261</v>
      </c>
      <c r="V11" s="654">
        <v>42583</v>
      </c>
      <c r="W11" s="653" t="s">
        <v>366</v>
      </c>
    </row>
    <row r="12" spans="1:23" s="655" customFormat="1" ht="15.5" x14ac:dyDescent="0.35">
      <c r="A12" s="655" t="str">
        <f t="shared" si="0"/>
        <v>Base2013_3_bus___</v>
      </c>
      <c r="B12" s="652"/>
      <c r="C12" s="652" t="s">
        <v>383</v>
      </c>
      <c r="D12" s="652">
        <v>3</v>
      </c>
      <c r="E12" s="652" t="s">
        <v>257</v>
      </c>
      <c r="F12" s="653" t="s">
        <v>368</v>
      </c>
      <c r="G12" s="652"/>
      <c r="H12" s="653" t="s">
        <v>365</v>
      </c>
      <c r="I12" s="652"/>
      <c r="J12" s="652"/>
      <c r="K12" s="652"/>
      <c r="L12" s="652" t="s">
        <v>93</v>
      </c>
      <c r="M12" s="652"/>
      <c r="N12" s="652"/>
      <c r="O12" s="652"/>
      <c r="P12" s="652"/>
      <c r="Q12" s="652"/>
      <c r="R12" s="652"/>
      <c r="S12" s="652"/>
      <c r="T12" s="652"/>
      <c r="U12" s="746">
        <f>'MoT Travel Input'!E37</f>
        <v>0.68526378137484711</v>
      </c>
      <c r="V12" s="654">
        <v>42583</v>
      </c>
      <c r="W12" s="653" t="s">
        <v>366</v>
      </c>
    </row>
    <row r="13" spans="1:23" s="655" customFormat="1" ht="15.5" x14ac:dyDescent="0.35">
      <c r="A13" s="655" t="str">
        <f t="shared" si="0"/>
        <v>Base2013_3_other___</v>
      </c>
      <c r="B13" s="652"/>
      <c r="C13" s="652" t="s">
        <v>383</v>
      </c>
      <c r="D13" s="652">
        <v>3</v>
      </c>
      <c r="E13" s="652" t="s">
        <v>257</v>
      </c>
      <c r="F13" s="653" t="s">
        <v>368</v>
      </c>
      <c r="G13" s="652"/>
      <c r="H13" s="653" t="s">
        <v>365</v>
      </c>
      <c r="I13" s="652"/>
      <c r="J13" s="652"/>
      <c r="K13" s="652"/>
      <c r="L13" s="652" t="s">
        <v>194</v>
      </c>
      <c r="M13" s="652"/>
      <c r="N13" s="652"/>
      <c r="O13" s="652"/>
      <c r="P13" s="652"/>
      <c r="Q13" s="652"/>
      <c r="R13" s="652"/>
      <c r="S13" s="652"/>
      <c r="T13" s="652"/>
      <c r="U13" s="746">
        <f>'MoT Travel Input'!E38</f>
        <v>0.21844466041763308</v>
      </c>
      <c r="V13" s="654">
        <v>42583</v>
      </c>
      <c r="W13" s="653" t="s">
        <v>366</v>
      </c>
    </row>
    <row r="14" spans="1:23" s="655" customFormat="1" ht="15.5" x14ac:dyDescent="0.35">
      <c r="A14" s="655" t="str">
        <f t="shared" si="0"/>
        <v>Base2013_3_rail___</v>
      </c>
      <c r="B14" s="652"/>
      <c r="C14" s="652" t="s">
        <v>383</v>
      </c>
      <c r="D14" s="652">
        <v>3</v>
      </c>
      <c r="E14" s="652" t="s">
        <v>257</v>
      </c>
      <c r="F14" s="653" t="s">
        <v>368</v>
      </c>
      <c r="G14" s="652"/>
      <c r="H14" s="653" t="s">
        <v>365</v>
      </c>
      <c r="I14" s="652"/>
      <c r="J14" s="652"/>
      <c r="K14" s="652"/>
      <c r="L14" s="652" t="s">
        <v>193</v>
      </c>
      <c r="M14" s="652"/>
      <c r="N14" s="652"/>
      <c r="O14" s="652"/>
      <c r="P14" s="652"/>
      <c r="Q14" s="652"/>
      <c r="R14" s="652"/>
      <c r="S14" s="652"/>
      <c r="T14" s="652"/>
      <c r="U14" s="746">
        <f>'MoT Travel Input'!E39</f>
        <v>0.28159622473451495</v>
      </c>
      <c r="V14" s="654">
        <v>42583</v>
      </c>
      <c r="W14" s="653" t="s">
        <v>366</v>
      </c>
    </row>
    <row r="15" spans="1:23" s="655" customFormat="1" ht="15.5" x14ac:dyDescent="0.35">
      <c r="A15" s="655" t="str">
        <f t="shared" si="0"/>
        <v>Base2013_3_walk___</v>
      </c>
      <c r="B15" s="652"/>
      <c r="C15" s="652" t="s">
        <v>383</v>
      </c>
      <c r="D15" s="652">
        <v>3</v>
      </c>
      <c r="E15" s="652" t="s">
        <v>257</v>
      </c>
      <c r="F15" s="653" t="s">
        <v>368</v>
      </c>
      <c r="G15" s="652"/>
      <c r="H15" s="653" t="s">
        <v>365</v>
      </c>
      <c r="I15" s="652"/>
      <c r="J15" s="652"/>
      <c r="K15" s="652"/>
      <c r="L15" s="652" t="s">
        <v>91</v>
      </c>
      <c r="M15" s="652"/>
      <c r="N15" s="652"/>
      <c r="O15" s="652"/>
      <c r="P15" s="652"/>
      <c r="Q15" s="652"/>
      <c r="R15" s="652"/>
      <c r="S15" s="652"/>
      <c r="T15" s="652"/>
      <c r="U15" s="746">
        <f>'MoT Travel Input'!E40</f>
        <v>0.49804396680777757</v>
      </c>
      <c r="V15" s="654">
        <v>42583</v>
      </c>
      <c r="W15" s="653" t="s">
        <v>366</v>
      </c>
    </row>
    <row r="16" spans="1:23" s="655" customFormat="1" ht="15.5" x14ac:dyDescent="0.35">
      <c r="A16" s="655" t="str">
        <f t="shared" si="0"/>
        <v>Base2013_10.1_auto (driver)___</v>
      </c>
      <c r="B16" s="652"/>
      <c r="C16" s="652" t="s">
        <v>383</v>
      </c>
      <c r="D16" s="652">
        <v>10.1</v>
      </c>
      <c r="E16" s="653" t="s">
        <v>369</v>
      </c>
      <c r="F16" s="653" t="s">
        <v>368</v>
      </c>
      <c r="G16" s="652"/>
      <c r="H16" s="653" t="s">
        <v>365</v>
      </c>
      <c r="I16" s="652"/>
      <c r="J16" s="652"/>
      <c r="K16" s="652"/>
      <c r="L16" s="652" t="s">
        <v>251</v>
      </c>
      <c r="M16" s="652"/>
      <c r="N16" s="652"/>
      <c r="O16" s="652"/>
      <c r="P16" s="652"/>
      <c r="Q16" s="652"/>
      <c r="R16" s="652"/>
      <c r="S16" s="652"/>
      <c r="T16" s="652"/>
      <c r="U16" s="746">
        <f>'MoT Travel Input'!E41</f>
        <v>83215638.473917812</v>
      </c>
      <c r="V16" s="654">
        <v>42583</v>
      </c>
      <c r="W16" s="653" t="s">
        <v>366</v>
      </c>
    </row>
    <row r="17" spans="1:23" s="655" customFormat="1" ht="15.5" x14ac:dyDescent="0.35">
      <c r="A17" s="655" t="str">
        <f t="shared" si="0"/>
        <v>Base2013_10.1_auto (passenger)___</v>
      </c>
      <c r="B17" s="652"/>
      <c r="C17" s="652" t="s">
        <v>383</v>
      </c>
      <c r="D17" s="652">
        <v>10.1</v>
      </c>
      <c r="E17" s="653" t="s">
        <v>369</v>
      </c>
      <c r="F17" s="653" t="s">
        <v>368</v>
      </c>
      <c r="G17" s="652"/>
      <c r="H17" s="653" t="s">
        <v>365</v>
      </c>
      <c r="I17" s="652"/>
      <c r="J17" s="652"/>
      <c r="K17" s="652"/>
      <c r="L17" s="652" t="s">
        <v>252</v>
      </c>
      <c r="M17" s="652"/>
      <c r="N17" s="652"/>
      <c r="O17" s="652"/>
      <c r="P17" s="652"/>
      <c r="Q17" s="652"/>
      <c r="R17" s="652"/>
      <c r="S17" s="652"/>
      <c r="T17" s="652"/>
      <c r="U17" s="746">
        <f>'MoT Travel Input'!E42</f>
        <v>46861161.444602735</v>
      </c>
      <c r="V17" s="654">
        <v>42583</v>
      </c>
      <c r="W17" s="653" t="s">
        <v>366</v>
      </c>
    </row>
    <row r="18" spans="1:23" s="655" customFormat="1" ht="15.5" x14ac:dyDescent="0.35">
      <c r="A18" s="655" t="str">
        <f t="shared" si="0"/>
        <v>Base2013_10.2_auto (driver)___</v>
      </c>
      <c r="B18" s="652"/>
      <c r="C18" s="652" t="s">
        <v>383</v>
      </c>
      <c r="D18" s="652">
        <v>10.199999999999999</v>
      </c>
      <c r="E18" s="652" t="s">
        <v>272</v>
      </c>
      <c r="F18" s="652" t="s">
        <v>273</v>
      </c>
      <c r="G18" s="652"/>
      <c r="H18" s="653" t="s">
        <v>365</v>
      </c>
      <c r="I18" s="652"/>
      <c r="J18" s="652"/>
      <c r="K18" s="652"/>
      <c r="L18" s="652" t="s">
        <v>251</v>
      </c>
      <c r="M18" s="652"/>
      <c r="N18" s="652"/>
      <c r="O18" s="652"/>
      <c r="P18" s="652"/>
      <c r="Q18" s="652"/>
      <c r="R18" s="652"/>
      <c r="S18" s="652"/>
      <c r="T18" s="652"/>
      <c r="U18" s="746">
        <f>'MoT Travel Input'!E43</f>
        <v>2247666.7736117803</v>
      </c>
      <c r="V18" s="654">
        <v>42583</v>
      </c>
      <c r="W18" s="653" t="s">
        <v>366</v>
      </c>
    </row>
    <row r="19" spans="1:23" s="655" customFormat="1" ht="15.5" x14ac:dyDescent="0.35">
      <c r="A19" s="655" t="str">
        <f t="shared" si="0"/>
        <v>Base2013_10.2_auto (passenger)___</v>
      </c>
      <c r="B19" s="652"/>
      <c r="C19" s="652" t="s">
        <v>383</v>
      </c>
      <c r="D19" s="652">
        <v>10.199999999999999</v>
      </c>
      <c r="E19" s="652" t="s">
        <v>272</v>
      </c>
      <c r="F19" s="652" t="s">
        <v>273</v>
      </c>
      <c r="G19" s="652"/>
      <c r="H19" s="653" t="s">
        <v>365</v>
      </c>
      <c r="I19" s="652"/>
      <c r="J19" s="652"/>
      <c r="K19" s="652"/>
      <c r="L19" s="652" t="s">
        <v>252</v>
      </c>
      <c r="M19" s="652"/>
      <c r="N19" s="652"/>
      <c r="O19" s="652"/>
      <c r="P19" s="652"/>
      <c r="Q19" s="652"/>
      <c r="R19" s="652"/>
      <c r="S19" s="652"/>
      <c r="T19" s="652"/>
      <c r="U19" s="746">
        <f>'MoT Travel Input'!E44</f>
        <v>1178329.7976882192</v>
      </c>
      <c r="V19" s="654">
        <v>42583</v>
      </c>
      <c r="W19" s="653" t="s">
        <v>366</v>
      </c>
    </row>
    <row r="20" spans="1:23" s="655" customFormat="1" ht="15.5" x14ac:dyDescent="0.35">
      <c r="A20" s="655" t="str">
        <f t="shared" si="0"/>
        <v>Base2013_18____</v>
      </c>
      <c r="B20" s="652"/>
      <c r="C20" s="652" t="s">
        <v>383</v>
      </c>
      <c r="D20" s="652">
        <v>18</v>
      </c>
      <c r="E20" s="652" t="s">
        <v>259</v>
      </c>
      <c r="F20" s="652" t="s">
        <v>260</v>
      </c>
      <c r="G20" s="652"/>
      <c r="H20" s="653" t="s">
        <v>365</v>
      </c>
      <c r="I20" s="652"/>
      <c r="J20" s="652"/>
      <c r="K20" s="652"/>
      <c r="L20" s="652"/>
      <c r="M20" s="652"/>
      <c r="N20" s="652"/>
      <c r="O20" s="652"/>
      <c r="P20" s="652"/>
      <c r="Q20" s="652"/>
      <c r="R20" s="652"/>
      <c r="S20" s="652"/>
      <c r="T20" s="652"/>
      <c r="U20" s="652">
        <f>'Calibration Data'!R146</f>
        <v>4441600</v>
      </c>
      <c r="V20" s="654">
        <v>42583</v>
      </c>
      <c r="W20" s="653" t="s">
        <v>362</v>
      </c>
    </row>
    <row r="21" spans="1:23" s="626" customFormat="1" ht="15.5" x14ac:dyDescent="0.35">
      <c r="A21" s="629" t="str">
        <f t="shared" ref="A21:A87" si="1">C21&amp;"_"&amp;D21&amp;"_"&amp;L21&amp;"_"&amp;O21&amp;"_"&amp;Q21&amp;"_"&amp;R21</f>
        <v>Scen1_1_walk___</v>
      </c>
      <c r="B21" s="629"/>
      <c r="C21" s="629" t="s">
        <v>384</v>
      </c>
      <c r="D21" s="629">
        <v>1</v>
      </c>
      <c r="E21" s="629" t="s">
        <v>255</v>
      </c>
      <c r="F21" s="629" t="s">
        <v>256</v>
      </c>
      <c r="G21" s="629"/>
      <c r="H21" s="629" t="str">
        <f>'MoT Travel Input'!$P$3</f>
        <v>Base case 2043</v>
      </c>
      <c r="I21" s="629"/>
      <c r="J21" s="629"/>
      <c r="K21" s="629"/>
      <c r="L21" s="629" t="s">
        <v>91</v>
      </c>
      <c r="M21" s="629"/>
      <c r="N21" s="629"/>
      <c r="O21" s="629"/>
      <c r="P21" s="629"/>
      <c r="Q21" s="629"/>
      <c r="R21" s="629"/>
      <c r="S21" s="629"/>
      <c r="T21" s="629"/>
      <c r="U21" s="630">
        <f>'MoT Travel Input'!I3</f>
        <v>7.1257777719336541</v>
      </c>
      <c r="V21" s="631">
        <v>42583</v>
      </c>
      <c r="W21" s="627" t="s">
        <v>366</v>
      </c>
    </row>
    <row r="22" spans="1:23" s="626" customFormat="1" ht="15.5" x14ac:dyDescent="0.35">
      <c r="A22" s="629" t="str">
        <f t="shared" si="1"/>
        <v>Scen1_1_bike___</v>
      </c>
      <c r="B22" s="629"/>
      <c r="C22" s="629" t="s">
        <v>384</v>
      </c>
      <c r="D22" s="629">
        <v>1</v>
      </c>
      <c r="E22" s="629" t="s">
        <v>255</v>
      </c>
      <c r="F22" s="629" t="s">
        <v>256</v>
      </c>
      <c r="G22" s="629"/>
      <c r="H22" s="629" t="str">
        <f>'MoT Travel Input'!$P$3</f>
        <v>Base case 2043</v>
      </c>
      <c r="I22" s="629"/>
      <c r="J22" s="629"/>
      <c r="K22" s="629"/>
      <c r="L22" s="629" t="s">
        <v>248</v>
      </c>
      <c r="M22" s="629"/>
      <c r="N22" s="629"/>
      <c r="O22" s="629"/>
      <c r="P22" s="629"/>
      <c r="Q22" s="629"/>
      <c r="R22" s="629"/>
      <c r="S22" s="629"/>
      <c r="T22" s="629"/>
      <c r="U22" s="630">
        <f>'MoT Travel Input'!I4</f>
        <v>0.93100324310622784</v>
      </c>
      <c r="V22" s="631">
        <v>42583</v>
      </c>
      <c r="W22" s="627" t="s">
        <v>366</v>
      </c>
    </row>
    <row r="23" spans="1:23" s="626" customFormat="1" ht="15.5" x14ac:dyDescent="0.35">
      <c r="A23" s="629" t="str">
        <f t="shared" si="1"/>
        <v>Scen1_1_rail___</v>
      </c>
      <c r="B23" s="629"/>
      <c r="C23" s="629" t="s">
        <v>384</v>
      </c>
      <c r="D23" s="629">
        <v>1</v>
      </c>
      <c r="E23" s="629" t="s">
        <v>255</v>
      </c>
      <c r="F23" s="629" t="s">
        <v>256</v>
      </c>
      <c r="G23" s="629"/>
      <c r="H23" s="629" t="str">
        <f>'MoT Travel Input'!$P$3</f>
        <v>Base case 2043</v>
      </c>
      <c r="I23" s="629"/>
      <c r="J23" s="629"/>
      <c r="K23" s="629"/>
      <c r="L23" s="629" t="s">
        <v>193</v>
      </c>
      <c r="M23" s="629"/>
      <c r="N23" s="629"/>
      <c r="O23" s="629"/>
      <c r="P23" s="629"/>
      <c r="Q23" s="629"/>
      <c r="R23" s="629"/>
      <c r="S23" s="629"/>
      <c r="T23" s="629"/>
      <c r="U23" s="630">
        <f>'MoT Travel Input'!I5</f>
        <v>1.7445627654591238</v>
      </c>
      <c r="V23" s="631">
        <v>42583</v>
      </c>
      <c r="W23" s="627" t="s">
        <v>366</v>
      </c>
    </row>
    <row r="24" spans="1:23" s="626" customFormat="1" ht="15.5" x14ac:dyDescent="0.35">
      <c r="A24" s="629" t="str">
        <f t="shared" si="1"/>
        <v>Scen1_1_bus___</v>
      </c>
      <c r="B24" s="629"/>
      <c r="C24" s="629" t="s">
        <v>384</v>
      </c>
      <c r="D24" s="629">
        <v>1</v>
      </c>
      <c r="E24" s="629" t="s">
        <v>255</v>
      </c>
      <c r="F24" s="629" t="s">
        <v>256</v>
      </c>
      <c r="G24" s="629"/>
      <c r="H24" s="629" t="str">
        <f>'MoT Travel Input'!$P$3</f>
        <v>Base case 2043</v>
      </c>
      <c r="I24" s="629"/>
      <c r="J24" s="629"/>
      <c r="K24" s="629"/>
      <c r="L24" s="629" t="s">
        <v>93</v>
      </c>
      <c r="M24" s="629"/>
      <c r="N24" s="629"/>
      <c r="O24" s="629"/>
      <c r="P24" s="629"/>
      <c r="Q24" s="629"/>
      <c r="R24" s="629"/>
      <c r="S24" s="629"/>
      <c r="T24" s="629"/>
      <c r="U24" s="630">
        <f>'MoT Travel Input'!I6</f>
        <v>2.5227506857272304</v>
      </c>
      <c r="V24" s="631">
        <v>42583</v>
      </c>
      <c r="W24" s="627" t="s">
        <v>366</v>
      </c>
    </row>
    <row r="25" spans="1:23" s="626" customFormat="1" ht="15.5" x14ac:dyDescent="0.35">
      <c r="A25" s="629" t="str">
        <f t="shared" si="1"/>
        <v>Scen1_1_other___</v>
      </c>
      <c r="B25" s="629"/>
      <c r="C25" s="629" t="s">
        <v>384</v>
      </c>
      <c r="D25" s="629">
        <v>1</v>
      </c>
      <c r="E25" s="629" t="s">
        <v>255</v>
      </c>
      <c r="F25" s="629" t="s">
        <v>256</v>
      </c>
      <c r="G25" s="629"/>
      <c r="H25" s="629" t="str">
        <f>'MoT Travel Input'!$P$3</f>
        <v>Base case 2043</v>
      </c>
      <c r="I25" s="629"/>
      <c r="J25" s="629"/>
      <c r="K25" s="629"/>
      <c r="L25" s="629" t="s">
        <v>194</v>
      </c>
      <c r="M25" s="629"/>
      <c r="N25" s="629"/>
      <c r="O25" s="629"/>
      <c r="P25" s="629"/>
      <c r="Q25" s="629"/>
      <c r="R25" s="629"/>
      <c r="S25" s="629"/>
      <c r="T25" s="629"/>
      <c r="U25" s="630">
        <f>'MoT Travel Input'!I7</f>
        <v>0.74653718711507489</v>
      </c>
      <c r="V25" s="631">
        <v>42583</v>
      </c>
      <c r="W25" s="627" t="s">
        <v>366</v>
      </c>
    </row>
    <row r="26" spans="1:23" s="626" customFormat="1" ht="15.5" x14ac:dyDescent="0.35">
      <c r="A26" s="629" t="str">
        <f t="shared" si="1"/>
        <v>Scen1_1_auto (driver)___</v>
      </c>
      <c r="B26" s="629"/>
      <c r="C26" s="629" t="s">
        <v>384</v>
      </c>
      <c r="D26" s="629">
        <v>1</v>
      </c>
      <c r="E26" s="629" t="s">
        <v>255</v>
      </c>
      <c r="F26" s="629" t="s">
        <v>256</v>
      </c>
      <c r="G26" s="629"/>
      <c r="H26" s="629" t="str">
        <f>'MoT Travel Input'!$P$3</f>
        <v>Base case 2043</v>
      </c>
      <c r="I26" s="629"/>
      <c r="J26" s="629"/>
      <c r="K26" s="629"/>
      <c r="L26" s="629" t="s">
        <v>251</v>
      </c>
      <c r="M26" s="629"/>
      <c r="N26" s="629"/>
      <c r="O26" s="629"/>
      <c r="P26" s="629"/>
      <c r="Q26" s="629"/>
      <c r="R26" s="629"/>
      <c r="S26" s="629"/>
      <c r="T26" s="629"/>
      <c r="U26" s="630">
        <f>'MoT Travel Input'!I8</f>
        <v>31.233640280026517</v>
      </c>
      <c r="V26" s="631">
        <v>42583</v>
      </c>
      <c r="W26" s="627" t="s">
        <v>366</v>
      </c>
    </row>
    <row r="27" spans="1:23" s="626" customFormat="1" ht="15.5" x14ac:dyDescent="0.35">
      <c r="A27" s="629" t="str">
        <f t="shared" si="1"/>
        <v>Scen1_1_auto (passenger)___</v>
      </c>
      <c r="B27" s="629"/>
      <c r="C27" s="629" t="s">
        <v>384</v>
      </c>
      <c r="D27" s="629">
        <v>1</v>
      </c>
      <c r="E27" s="629" t="s">
        <v>255</v>
      </c>
      <c r="F27" s="629" t="s">
        <v>256</v>
      </c>
      <c r="G27" s="629"/>
      <c r="H27" s="629" t="str">
        <f>'MoT Travel Input'!$P$3</f>
        <v>Base case 2043</v>
      </c>
      <c r="I27" s="629"/>
      <c r="J27" s="629"/>
      <c r="K27" s="629"/>
      <c r="L27" s="629" t="s">
        <v>252</v>
      </c>
      <c r="M27" s="629"/>
      <c r="N27" s="629"/>
      <c r="O27" s="629"/>
      <c r="P27" s="629"/>
      <c r="Q27" s="629"/>
      <c r="R27" s="629"/>
      <c r="S27" s="629"/>
      <c r="T27" s="629"/>
      <c r="U27" s="630">
        <f>'MoT Travel Input'!I9</f>
        <v>13.940551610624395</v>
      </c>
      <c r="V27" s="631">
        <v>42583</v>
      </c>
      <c r="W27" s="627" t="s">
        <v>366</v>
      </c>
    </row>
    <row r="28" spans="1:23" s="626" customFormat="1" ht="15.5" x14ac:dyDescent="0.35">
      <c r="A28" s="629" t="str">
        <f t="shared" si="1"/>
        <v>Scen1_3_walk___</v>
      </c>
      <c r="B28" s="629"/>
      <c r="C28" s="629" t="s">
        <v>384</v>
      </c>
      <c r="D28" s="629">
        <v>3</v>
      </c>
      <c r="E28" s="629" t="s">
        <v>257</v>
      </c>
      <c r="F28" s="632" t="s">
        <v>368</v>
      </c>
      <c r="G28" s="629"/>
      <c r="H28" s="629" t="str">
        <f>'MoT Travel Input'!$P$3</f>
        <v>Base case 2043</v>
      </c>
      <c r="I28" s="629"/>
      <c r="J28" s="629"/>
      <c r="K28" s="629"/>
      <c r="L28" s="629" t="s">
        <v>91</v>
      </c>
      <c r="M28" s="629"/>
      <c r="N28" s="629"/>
      <c r="O28" s="629"/>
      <c r="P28" s="629"/>
      <c r="Q28" s="629"/>
      <c r="R28" s="629"/>
      <c r="S28" s="629"/>
      <c r="T28" s="629"/>
      <c r="U28" s="630">
        <f>'MoT Travel Input'!I10</f>
        <v>0.45717936982480378</v>
      </c>
      <c r="V28" s="631">
        <v>42583</v>
      </c>
      <c r="W28" s="627" t="s">
        <v>366</v>
      </c>
    </row>
    <row r="29" spans="1:23" s="626" customFormat="1" ht="15.5" x14ac:dyDescent="0.35">
      <c r="A29" s="629" t="str">
        <f t="shared" si="1"/>
        <v>Scen1_3_bike___</v>
      </c>
      <c r="B29" s="629"/>
      <c r="C29" s="629" t="s">
        <v>384</v>
      </c>
      <c r="D29" s="632">
        <v>3</v>
      </c>
      <c r="E29" s="632" t="s">
        <v>257</v>
      </c>
      <c r="F29" s="632" t="s">
        <v>368</v>
      </c>
      <c r="G29" s="632"/>
      <c r="H29" s="629" t="str">
        <f>'MoT Travel Input'!$P$3</f>
        <v>Base case 2043</v>
      </c>
      <c r="I29" s="632"/>
      <c r="J29" s="632"/>
      <c r="K29" s="632"/>
      <c r="L29" s="632" t="s">
        <v>248</v>
      </c>
      <c r="M29" s="632"/>
      <c r="N29" s="629"/>
      <c r="O29" s="632"/>
      <c r="P29" s="632"/>
      <c r="Q29" s="632"/>
      <c r="R29" s="632"/>
      <c r="S29" s="632"/>
      <c r="T29" s="633"/>
      <c r="U29" s="630">
        <f>'MoT Travel Input'!I11</f>
        <v>0.20214919391112071</v>
      </c>
      <c r="V29" s="631">
        <v>42583</v>
      </c>
      <c r="W29" s="627" t="s">
        <v>366</v>
      </c>
    </row>
    <row r="30" spans="1:23" s="626" customFormat="1" ht="15.5" x14ac:dyDescent="0.35">
      <c r="A30" s="629" t="str">
        <f t="shared" si="1"/>
        <v>Scen1_3_rail___</v>
      </c>
      <c r="B30" s="629"/>
      <c r="C30" s="629" t="s">
        <v>384</v>
      </c>
      <c r="D30" s="632">
        <v>3</v>
      </c>
      <c r="E30" s="632" t="s">
        <v>257</v>
      </c>
      <c r="F30" s="632" t="s">
        <v>368</v>
      </c>
      <c r="G30" s="632"/>
      <c r="H30" s="629" t="str">
        <f>'MoT Travel Input'!$P$3</f>
        <v>Base case 2043</v>
      </c>
      <c r="I30" s="632"/>
      <c r="J30" s="632"/>
      <c r="K30" s="632"/>
      <c r="L30" s="632" t="s">
        <v>193</v>
      </c>
      <c r="M30" s="632"/>
      <c r="N30" s="629"/>
      <c r="O30" s="632"/>
      <c r="P30" s="632"/>
      <c r="Q30" s="632"/>
      <c r="R30" s="632"/>
      <c r="S30" s="632"/>
      <c r="T30" s="633"/>
      <c r="U30" s="630">
        <f>'MoT Travel Input'!I12</f>
        <v>0.93394743934496371</v>
      </c>
      <c r="V30" s="631">
        <v>42583</v>
      </c>
      <c r="W30" s="627" t="s">
        <v>366</v>
      </c>
    </row>
    <row r="31" spans="1:23" s="626" customFormat="1" ht="15.5" x14ac:dyDescent="0.35">
      <c r="A31" s="629" t="str">
        <f t="shared" si="1"/>
        <v>Scen1_3_bus___</v>
      </c>
      <c r="B31" s="629"/>
      <c r="C31" s="629" t="s">
        <v>384</v>
      </c>
      <c r="D31" s="632">
        <v>3</v>
      </c>
      <c r="E31" s="632" t="s">
        <v>257</v>
      </c>
      <c r="F31" s="632" t="s">
        <v>368</v>
      </c>
      <c r="G31" s="632"/>
      <c r="H31" s="629" t="str">
        <f>'MoT Travel Input'!$P$3</f>
        <v>Base case 2043</v>
      </c>
      <c r="I31" s="632"/>
      <c r="J31" s="632"/>
      <c r="K31" s="632"/>
      <c r="L31" s="632" t="s">
        <v>93</v>
      </c>
      <c r="M31" s="632"/>
      <c r="N31" s="629"/>
      <c r="O31" s="632"/>
      <c r="P31" s="632"/>
      <c r="Q31" s="632"/>
      <c r="R31" s="632"/>
      <c r="S31" s="632"/>
      <c r="T31" s="633"/>
      <c r="U31" s="630">
        <f>'MoT Travel Input'!I13</f>
        <v>0.84708677543021227</v>
      </c>
      <c r="V31" s="631">
        <v>42583</v>
      </c>
      <c r="W31" s="627" t="s">
        <v>366</v>
      </c>
    </row>
    <row r="32" spans="1:23" s="626" customFormat="1" ht="15.5" x14ac:dyDescent="0.35">
      <c r="A32" s="629" t="str">
        <f t="shared" si="1"/>
        <v>Scen1_3_other___</v>
      </c>
      <c r="B32" s="629"/>
      <c r="C32" s="629" t="s">
        <v>384</v>
      </c>
      <c r="D32" s="632">
        <v>3</v>
      </c>
      <c r="E32" s="632" t="s">
        <v>257</v>
      </c>
      <c r="F32" s="632" t="s">
        <v>368</v>
      </c>
      <c r="G32" s="632"/>
      <c r="H32" s="629" t="str">
        <f>'MoT Travel Input'!$P$3</f>
        <v>Base case 2043</v>
      </c>
      <c r="I32" s="632"/>
      <c r="J32" s="632"/>
      <c r="K32" s="632"/>
      <c r="L32" s="632" t="s">
        <v>194</v>
      </c>
      <c r="M32" s="632"/>
      <c r="N32" s="629"/>
      <c r="O32" s="632"/>
      <c r="P32" s="632"/>
      <c r="Q32" s="632"/>
      <c r="R32" s="632"/>
      <c r="S32" s="632"/>
      <c r="T32" s="633"/>
      <c r="U32" s="630">
        <f>'MoT Travel Input'!I14</f>
        <v>0.22626633244389899</v>
      </c>
      <c r="V32" s="631">
        <v>42583</v>
      </c>
      <c r="W32" s="627" t="s">
        <v>366</v>
      </c>
    </row>
    <row r="33" spans="1:23" s="626" customFormat="1" ht="15.5" x14ac:dyDescent="0.35">
      <c r="A33" s="629" t="str">
        <f t="shared" si="1"/>
        <v>Scen1_3_auto (driver)___</v>
      </c>
      <c r="B33" s="629"/>
      <c r="C33" s="629" t="s">
        <v>384</v>
      </c>
      <c r="D33" s="632">
        <v>3</v>
      </c>
      <c r="E33" s="632" t="s">
        <v>257</v>
      </c>
      <c r="F33" s="632" t="s">
        <v>368</v>
      </c>
      <c r="G33" s="632"/>
      <c r="H33" s="629" t="str">
        <f>'MoT Travel Input'!$P$3</f>
        <v>Base case 2043</v>
      </c>
      <c r="I33" s="632"/>
      <c r="J33" s="632"/>
      <c r="K33" s="632"/>
      <c r="L33" s="632" t="s">
        <v>251</v>
      </c>
      <c r="M33" s="632"/>
      <c r="N33" s="629"/>
      <c r="O33" s="632"/>
      <c r="P33" s="632"/>
      <c r="Q33" s="632"/>
      <c r="R33" s="632"/>
      <c r="S33" s="632"/>
      <c r="U33" s="630">
        <f>'MoT Travel Input'!I15</f>
        <v>19.233163904191759</v>
      </c>
      <c r="V33" s="631">
        <v>42583</v>
      </c>
      <c r="W33" s="627" t="s">
        <v>366</v>
      </c>
    </row>
    <row r="34" spans="1:23" s="626" customFormat="1" ht="15.5" x14ac:dyDescent="0.35">
      <c r="A34" s="629" t="str">
        <f t="shared" si="1"/>
        <v>Scen1_3_auto (passenger)___</v>
      </c>
      <c r="B34" s="629"/>
      <c r="C34" s="629" t="s">
        <v>384</v>
      </c>
      <c r="D34" s="632">
        <v>3</v>
      </c>
      <c r="E34" s="632" t="s">
        <v>257</v>
      </c>
      <c r="F34" s="632" t="s">
        <v>368</v>
      </c>
      <c r="G34" s="632"/>
      <c r="H34" s="629" t="str">
        <f>'MoT Travel Input'!$P$3</f>
        <v>Base case 2043</v>
      </c>
      <c r="I34" s="632"/>
      <c r="J34" s="632"/>
      <c r="K34" s="632"/>
      <c r="L34" s="632" t="s">
        <v>252</v>
      </c>
      <c r="M34" s="632"/>
      <c r="N34" s="629"/>
      <c r="O34" s="632"/>
      <c r="P34" s="632"/>
      <c r="Q34" s="632"/>
      <c r="R34" s="632"/>
      <c r="S34" s="632"/>
      <c r="T34" s="633"/>
      <c r="U34" s="630">
        <f>'MoT Travel Input'!I16</f>
        <v>9.415432474362623</v>
      </c>
      <c r="V34" s="631">
        <v>42583</v>
      </c>
      <c r="W34" s="627" t="s">
        <v>366</v>
      </c>
    </row>
    <row r="35" spans="1:23" s="626" customFormat="1" ht="15.5" x14ac:dyDescent="0.35">
      <c r="A35" s="629" t="str">
        <f t="shared" si="1"/>
        <v>Scen1_18____</v>
      </c>
      <c r="B35" s="629"/>
      <c r="C35" s="629" t="s">
        <v>384</v>
      </c>
      <c r="D35" s="632">
        <v>18</v>
      </c>
      <c r="E35" s="632" t="s">
        <v>259</v>
      </c>
      <c r="F35" s="632" t="s">
        <v>260</v>
      </c>
      <c r="G35" s="632"/>
      <c r="H35" s="629" t="str">
        <f>'MoT Travel Input'!$P$3</f>
        <v>Base case 2043</v>
      </c>
      <c r="I35" s="632"/>
      <c r="J35" s="632"/>
      <c r="K35" s="632"/>
      <c r="L35" s="632"/>
      <c r="M35" s="632"/>
      <c r="N35" s="632"/>
      <c r="O35" s="632"/>
      <c r="P35" s="632"/>
      <c r="Q35" s="632"/>
      <c r="R35" s="632"/>
      <c r="S35" s="632"/>
      <c r="T35" s="632"/>
      <c r="U35" s="773">
        <f>'MoT Travel Input'!I21</f>
        <v>5922500</v>
      </c>
      <c r="V35" s="631">
        <v>42583</v>
      </c>
      <c r="W35" s="627" t="s">
        <v>367</v>
      </c>
    </row>
    <row r="36" spans="1:23" s="626" customFormat="1" ht="15.5" x14ac:dyDescent="0.35">
      <c r="A36" s="629" t="str">
        <f t="shared" si="1"/>
        <v>Scen1_10.1_Auto (Driver)___</v>
      </c>
      <c r="B36" s="629"/>
      <c r="C36" s="629" t="s">
        <v>384</v>
      </c>
      <c r="D36" s="632">
        <v>10.1</v>
      </c>
      <c r="E36" s="632" t="s">
        <v>369</v>
      </c>
      <c r="F36" s="632" t="s">
        <v>368</v>
      </c>
      <c r="G36" s="632"/>
      <c r="H36" s="629" t="str">
        <f>'MoT Travel Input'!$P$3</f>
        <v>Base case 2043</v>
      </c>
      <c r="I36" s="632"/>
      <c r="J36" s="632"/>
      <c r="K36" s="632"/>
      <c r="L36" s="632" t="s">
        <v>234</v>
      </c>
      <c r="M36" s="632"/>
      <c r="N36" s="632"/>
      <c r="O36" s="632"/>
      <c r="P36" s="632"/>
      <c r="Q36" s="632"/>
      <c r="R36" s="632"/>
      <c r="S36" s="634"/>
      <c r="T36" s="632"/>
      <c r="U36" s="635">
        <f>'MoT Travel Input'!I17</f>
        <v>113908413.22257569</v>
      </c>
      <c r="V36" s="631">
        <v>42583</v>
      </c>
      <c r="W36" s="627" t="s">
        <v>366</v>
      </c>
    </row>
    <row r="37" spans="1:23" s="626" customFormat="1" ht="15.5" x14ac:dyDescent="0.35">
      <c r="A37" s="629" t="str">
        <f t="shared" si="1"/>
        <v>Scen1_10.1_Auto (Passenger)___</v>
      </c>
      <c r="B37" s="629"/>
      <c r="C37" s="629" t="s">
        <v>384</v>
      </c>
      <c r="D37" s="632">
        <v>10.1</v>
      </c>
      <c r="E37" s="632" t="s">
        <v>369</v>
      </c>
      <c r="F37" s="632" t="s">
        <v>368</v>
      </c>
      <c r="G37" s="632"/>
      <c r="H37" s="629" t="str">
        <f>'MoT Travel Input'!$P$3</f>
        <v>Base case 2043</v>
      </c>
      <c r="I37" s="632"/>
      <c r="J37" s="632"/>
      <c r="K37" s="632"/>
      <c r="L37" s="632" t="s">
        <v>235</v>
      </c>
      <c r="M37" s="632"/>
      <c r="N37" s="632"/>
      <c r="O37" s="632"/>
      <c r="P37" s="632"/>
      <c r="Q37" s="632"/>
      <c r="R37" s="632"/>
      <c r="S37" s="634"/>
      <c r="U37" s="635">
        <f>'MoT Travel Input'!I18</f>
        <v>55762898.829412632</v>
      </c>
      <c r="V37" s="631">
        <v>42583</v>
      </c>
      <c r="W37" s="627" t="s">
        <v>366</v>
      </c>
    </row>
    <row r="38" spans="1:23" s="626" customFormat="1" ht="15.5" x14ac:dyDescent="0.35">
      <c r="A38" s="629" t="str">
        <f t="shared" si="1"/>
        <v>Scen1_10.2_Auto (Driver)___</v>
      </c>
      <c r="B38" s="629"/>
      <c r="C38" s="629" t="s">
        <v>384</v>
      </c>
      <c r="D38" s="632">
        <v>10.199999999999999</v>
      </c>
      <c r="E38" s="632" t="s">
        <v>272</v>
      </c>
      <c r="F38" s="632" t="s">
        <v>273</v>
      </c>
      <c r="G38" s="632"/>
      <c r="H38" s="629" t="str">
        <f>'MoT Travel Input'!$P$3</f>
        <v>Base case 2043</v>
      </c>
      <c r="I38" s="632"/>
      <c r="J38" s="632"/>
      <c r="K38" s="632"/>
      <c r="L38" s="632" t="s">
        <v>234</v>
      </c>
      <c r="M38" s="632"/>
      <c r="N38" s="632"/>
      <c r="O38" s="632"/>
      <c r="P38" s="632"/>
      <c r="Q38" s="632"/>
      <c r="R38" s="632"/>
      <c r="S38" s="634"/>
      <c r="T38" s="632"/>
      <c r="U38" s="635">
        <f>'MoT Travel Input'!I19</f>
        <v>3083020.5759742842</v>
      </c>
      <c r="V38" s="631">
        <v>42583</v>
      </c>
      <c r="W38" s="627" t="s">
        <v>366</v>
      </c>
    </row>
    <row r="39" spans="1:23" s="626" customFormat="1" ht="15.5" x14ac:dyDescent="0.35">
      <c r="A39" s="629" t="str">
        <f t="shared" si="1"/>
        <v>Scen1_10.2_Auto (Passenger)___</v>
      </c>
      <c r="B39" s="629"/>
      <c r="C39" s="629" t="s">
        <v>384</v>
      </c>
      <c r="D39" s="629">
        <v>10.199999999999999</v>
      </c>
      <c r="E39" s="629" t="s">
        <v>272</v>
      </c>
      <c r="F39" s="629" t="s">
        <v>273</v>
      </c>
      <c r="G39" s="629"/>
      <c r="H39" s="629" t="str">
        <f>'MoT Travel Input'!$P$3</f>
        <v>Base case 2043</v>
      </c>
      <c r="I39" s="629"/>
      <c r="J39" s="629"/>
      <c r="K39" s="629"/>
      <c r="L39" s="629" t="s">
        <v>235</v>
      </c>
      <c r="M39" s="629"/>
      <c r="N39" s="629"/>
      <c r="O39" s="629"/>
      <c r="P39" s="629"/>
      <c r="Q39" s="629"/>
      <c r="R39" s="629"/>
      <c r="S39" s="629"/>
      <c r="T39" s="629"/>
      <c r="U39" s="635">
        <f>'MoT Travel Input'!I20</f>
        <v>1376048.6152320495</v>
      </c>
      <c r="V39" s="631">
        <v>42583</v>
      </c>
      <c r="W39" s="627" t="s">
        <v>366</v>
      </c>
    </row>
    <row r="40" spans="1:23" s="629" customFormat="1" ht="15.5" x14ac:dyDescent="0.35">
      <c r="A40" s="629" t="str">
        <f t="shared" si="1"/>
        <v>Scen1_5___0-4_f</v>
      </c>
      <c r="B40" s="626"/>
      <c r="C40" s="629" t="s">
        <v>384</v>
      </c>
      <c r="D40" s="626">
        <v>5</v>
      </c>
      <c r="E40" s="626" t="s">
        <v>223</v>
      </c>
      <c r="F40" s="627" t="s">
        <v>101</v>
      </c>
      <c r="G40" s="626"/>
      <c r="H40" s="629" t="str">
        <f>'MoT Travel Input'!$P$3</f>
        <v>Base case 2043</v>
      </c>
      <c r="K40" s="626"/>
      <c r="L40" s="626"/>
      <c r="M40" s="626"/>
      <c r="N40" s="626"/>
      <c r="O40" s="626"/>
      <c r="P40" s="626"/>
      <c r="Q40" s="627" t="s">
        <v>2</v>
      </c>
      <c r="R40" s="626" t="s">
        <v>26</v>
      </c>
      <c r="S40" s="626"/>
      <c r="T40" s="626"/>
      <c r="U40" s="626">
        <f>'[4]NZ.Stat export'!W6</f>
        <v>2.6084754347459056E-2</v>
      </c>
      <c r="V40" s="628">
        <v>42584</v>
      </c>
      <c r="W40" s="627" t="s">
        <v>364</v>
      </c>
    </row>
    <row r="41" spans="1:23" s="629" customFormat="1" ht="15.5" x14ac:dyDescent="0.35">
      <c r="A41" s="629" t="str">
        <f t="shared" si="1"/>
        <v>Scen1_5___5-14_f</v>
      </c>
      <c r="B41" s="626"/>
      <c r="C41" s="629" t="s">
        <v>384</v>
      </c>
      <c r="D41" s="626">
        <v>5</v>
      </c>
      <c r="E41" s="626" t="s">
        <v>223</v>
      </c>
      <c r="F41" s="627" t="s">
        <v>101</v>
      </c>
      <c r="G41" s="626"/>
      <c r="H41" s="629" t="str">
        <f>'MoT Travel Input'!$P$3</f>
        <v>Base case 2043</v>
      </c>
      <c r="K41" s="626"/>
      <c r="L41" s="626"/>
      <c r="M41" s="626"/>
      <c r="N41" s="626"/>
      <c r="O41" s="626"/>
      <c r="P41" s="626"/>
      <c r="Q41" s="646" t="s">
        <v>3</v>
      </c>
      <c r="R41" s="626" t="s">
        <v>26</v>
      </c>
      <c r="S41" s="626"/>
      <c r="T41" s="626"/>
      <c r="U41" s="626">
        <f>'[4]NZ.Stat export'!W7</f>
        <v>5.3435758905959821E-2</v>
      </c>
      <c r="V41" s="628">
        <v>42584</v>
      </c>
      <c r="W41" s="627" t="s">
        <v>364</v>
      </c>
    </row>
    <row r="42" spans="1:23" s="629" customFormat="1" ht="15.5" x14ac:dyDescent="0.35">
      <c r="A42" s="629" t="str">
        <f t="shared" si="1"/>
        <v>Scen1_5___15-29_f</v>
      </c>
      <c r="B42" s="626"/>
      <c r="C42" s="629" t="s">
        <v>384</v>
      </c>
      <c r="D42" s="626">
        <v>5</v>
      </c>
      <c r="E42" s="626" t="s">
        <v>223</v>
      </c>
      <c r="F42" s="627" t="s">
        <v>101</v>
      </c>
      <c r="G42" s="626"/>
      <c r="H42" s="629" t="str">
        <f>'MoT Travel Input'!$P$3</f>
        <v>Base case 2043</v>
      </c>
      <c r="K42" s="626"/>
      <c r="L42" s="626"/>
      <c r="M42" s="626"/>
      <c r="N42" s="626"/>
      <c r="O42" s="626"/>
      <c r="P42" s="626"/>
      <c r="Q42" s="626" t="s">
        <v>4</v>
      </c>
      <c r="R42" s="626" t="s">
        <v>26</v>
      </c>
      <c r="S42" s="626"/>
      <c r="T42" s="626"/>
      <c r="U42" s="626">
        <f>'[4]NZ.Stat export'!W8</f>
        <v>8.5041364173560702E-2</v>
      </c>
      <c r="V42" s="628">
        <v>42584</v>
      </c>
      <c r="W42" s="627" t="s">
        <v>364</v>
      </c>
    </row>
    <row r="43" spans="1:23" s="629" customFormat="1" ht="15.5" x14ac:dyDescent="0.35">
      <c r="A43" s="629" t="str">
        <f t="shared" si="1"/>
        <v>Scen1_5___30-44_f</v>
      </c>
      <c r="B43" s="626"/>
      <c r="C43" s="629" t="s">
        <v>384</v>
      </c>
      <c r="D43" s="626">
        <v>5</v>
      </c>
      <c r="E43" s="626" t="s">
        <v>223</v>
      </c>
      <c r="F43" s="627" t="s">
        <v>101</v>
      </c>
      <c r="G43" s="626"/>
      <c r="H43" s="629" t="str">
        <f>'MoT Travel Input'!$P$3</f>
        <v>Base case 2043</v>
      </c>
      <c r="K43" s="626"/>
      <c r="L43" s="626"/>
      <c r="M43" s="626"/>
      <c r="N43" s="626"/>
      <c r="O43" s="626"/>
      <c r="P43" s="626"/>
      <c r="Q43" s="626" t="s">
        <v>5</v>
      </c>
      <c r="R43" s="626" t="s">
        <v>26</v>
      </c>
      <c r="S43" s="626"/>
      <c r="T43" s="626"/>
      <c r="U43" s="626">
        <f>'[4]NZ.Stat export'!W9</f>
        <v>8.9211548201924701E-2</v>
      </c>
      <c r="V43" s="628">
        <v>42584</v>
      </c>
      <c r="W43" s="627" t="s">
        <v>364</v>
      </c>
    </row>
    <row r="44" spans="1:23" s="629" customFormat="1" ht="15.5" x14ac:dyDescent="0.35">
      <c r="A44" s="629" t="str">
        <f t="shared" si="1"/>
        <v>Scen1_5___45-59_f</v>
      </c>
      <c r="B44" s="626"/>
      <c r="C44" s="629" t="s">
        <v>384</v>
      </c>
      <c r="D44" s="626">
        <v>5</v>
      </c>
      <c r="E44" s="626" t="s">
        <v>223</v>
      </c>
      <c r="F44" s="627" t="s">
        <v>101</v>
      </c>
      <c r="G44" s="626"/>
      <c r="H44" s="629" t="str">
        <f>'MoT Travel Input'!$P$3</f>
        <v>Base case 2043</v>
      </c>
      <c r="K44" s="626"/>
      <c r="L44" s="626"/>
      <c r="M44" s="626"/>
      <c r="N44" s="626"/>
      <c r="O44" s="626"/>
      <c r="P44" s="626"/>
      <c r="Q44" s="626" t="s">
        <v>6</v>
      </c>
      <c r="R44" s="626" t="s">
        <v>26</v>
      </c>
      <c r="S44" s="626"/>
      <c r="T44" s="626"/>
      <c r="U44" s="626">
        <f>'[4]NZ.Stat export'!W10</f>
        <v>9.5694749282458219E-2</v>
      </c>
      <c r="V44" s="628">
        <v>42584</v>
      </c>
      <c r="W44" s="627" t="s">
        <v>364</v>
      </c>
    </row>
    <row r="45" spans="1:23" s="629" customFormat="1" ht="15.5" x14ac:dyDescent="0.35">
      <c r="A45" s="629" t="str">
        <f t="shared" si="1"/>
        <v>Scen1_5___60-69_f</v>
      </c>
      <c r="B45" s="626"/>
      <c r="C45" s="629" t="s">
        <v>384</v>
      </c>
      <c r="D45" s="626">
        <v>5</v>
      </c>
      <c r="E45" s="626" t="s">
        <v>223</v>
      </c>
      <c r="F45" s="627" t="s">
        <v>101</v>
      </c>
      <c r="G45" s="626"/>
      <c r="H45" s="629" t="str">
        <f>'MoT Travel Input'!$P$3</f>
        <v>Base case 2043</v>
      </c>
      <c r="K45" s="626"/>
      <c r="L45" s="626"/>
      <c r="M45" s="626"/>
      <c r="N45" s="626"/>
      <c r="O45" s="626"/>
      <c r="P45" s="626"/>
      <c r="Q45" s="626" t="s">
        <v>7</v>
      </c>
      <c r="R45" s="626" t="s">
        <v>26</v>
      </c>
      <c r="S45" s="626"/>
      <c r="T45" s="626"/>
      <c r="U45" s="626">
        <f>'[4]NZ.Stat export'!W11</f>
        <v>5.0920141820023634E-2</v>
      </c>
      <c r="V45" s="628">
        <v>42584</v>
      </c>
      <c r="W45" s="627" t="s">
        <v>364</v>
      </c>
    </row>
    <row r="46" spans="1:23" s="629" customFormat="1" ht="15.5" x14ac:dyDescent="0.35">
      <c r="A46" s="629" t="str">
        <f t="shared" si="1"/>
        <v>Scen1_5___70-79_f</v>
      </c>
      <c r="B46" s="626"/>
      <c r="C46" s="629" t="s">
        <v>384</v>
      </c>
      <c r="D46" s="626">
        <v>5</v>
      </c>
      <c r="E46" s="626" t="s">
        <v>223</v>
      </c>
      <c r="F46" s="627" t="s">
        <v>101</v>
      </c>
      <c r="G46" s="626"/>
      <c r="H46" s="629" t="str">
        <f>'MoT Travel Input'!$P$3</f>
        <v>Base case 2043</v>
      </c>
      <c r="K46" s="626"/>
      <c r="L46" s="626"/>
      <c r="M46" s="626"/>
      <c r="N46" s="626"/>
      <c r="O46" s="626"/>
      <c r="P46" s="626"/>
      <c r="Q46" s="626" t="s">
        <v>8</v>
      </c>
      <c r="R46" s="626" t="s">
        <v>26</v>
      </c>
      <c r="S46" s="626"/>
      <c r="T46" s="626"/>
      <c r="U46" s="626">
        <f>'[4]NZ.Stat export'!W12</f>
        <v>5.2051325341887555E-2</v>
      </c>
      <c r="V46" s="628">
        <v>42584</v>
      </c>
      <c r="W46" s="627" t="s">
        <v>364</v>
      </c>
    </row>
    <row r="47" spans="1:23" s="629" customFormat="1" ht="15.5" x14ac:dyDescent="0.35">
      <c r="A47" s="629" t="str">
        <f t="shared" si="1"/>
        <v>Scen1_5___80+_f</v>
      </c>
      <c r="B47" s="626"/>
      <c r="C47" s="629" t="s">
        <v>384</v>
      </c>
      <c r="D47" s="626">
        <v>5</v>
      </c>
      <c r="E47" s="626" t="s">
        <v>223</v>
      </c>
      <c r="F47" s="627" t="s">
        <v>101</v>
      </c>
      <c r="G47" s="626"/>
      <c r="H47" s="629" t="str">
        <f>'MoT Travel Input'!$P$3</f>
        <v>Base case 2043</v>
      </c>
      <c r="K47" s="626"/>
      <c r="L47" s="626"/>
      <c r="M47" s="626"/>
      <c r="N47" s="626"/>
      <c r="O47" s="626"/>
      <c r="P47" s="626"/>
      <c r="Q47" s="626" t="s">
        <v>9</v>
      </c>
      <c r="R47" s="626" t="s">
        <v>26</v>
      </c>
      <c r="S47" s="626"/>
      <c r="T47" s="626"/>
      <c r="U47" s="626">
        <f>'[4]NZ.Stat export'!W13</f>
        <v>4.8269458044909674E-2</v>
      </c>
      <c r="V47" s="628">
        <v>42584</v>
      </c>
      <c r="W47" s="627" t="s">
        <v>364</v>
      </c>
    </row>
    <row r="48" spans="1:23" s="629" customFormat="1" ht="15.5" x14ac:dyDescent="0.35">
      <c r="A48" s="629" t="str">
        <f t="shared" si="1"/>
        <v>Scen1_5___0-4_m</v>
      </c>
      <c r="B48" s="626"/>
      <c r="C48" s="629" t="s">
        <v>384</v>
      </c>
      <c r="D48" s="626">
        <v>5</v>
      </c>
      <c r="E48" s="626" t="s">
        <v>223</v>
      </c>
      <c r="F48" s="627" t="s">
        <v>101</v>
      </c>
      <c r="G48" s="626"/>
      <c r="H48" s="629" t="str">
        <f>'MoT Travel Input'!$P$3</f>
        <v>Base case 2043</v>
      </c>
      <c r="K48" s="626"/>
      <c r="L48" s="626"/>
      <c r="M48" s="626"/>
      <c r="N48" s="626"/>
      <c r="O48" s="626"/>
      <c r="P48" s="626"/>
      <c r="Q48" s="627" t="s">
        <v>2</v>
      </c>
      <c r="R48" s="626" t="s">
        <v>25</v>
      </c>
      <c r="S48" s="626"/>
      <c r="T48" s="626"/>
      <c r="U48" s="626">
        <f>'[4]NZ.Stat export'!W14</f>
        <v>2.7519837919972985E-2</v>
      </c>
      <c r="V48" s="628">
        <v>42584</v>
      </c>
      <c r="W48" s="627" t="s">
        <v>364</v>
      </c>
    </row>
    <row r="49" spans="1:23" s="629" customFormat="1" ht="15.5" x14ac:dyDescent="0.35">
      <c r="A49" s="629" t="str">
        <f t="shared" si="1"/>
        <v>Scen1_5___5-14_m</v>
      </c>
      <c r="B49" s="626"/>
      <c r="C49" s="629" t="s">
        <v>384</v>
      </c>
      <c r="D49" s="626">
        <v>5</v>
      </c>
      <c r="E49" s="626" t="s">
        <v>223</v>
      </c>
      <c r="F49" s="627" t="s">
        <v>101</v>
      </c>
      <c r="G49" s="626"/>
      <c r="H49" s="629" t="str">
        <f>'MoT Travel Input'!$P$3</f>
        <v>Base case 2043</v>
      </c>
      <c r="K49" s="626"/>
      <c r="L49" s="626"/>
      <c r="M49" s="626"/>
      <c r="N49" s="626"/>
      <c r="O49" s="626"/>
      <c r="P49" s="626"/>
      <c r="Q49" s="646" t="s">
        <v>3</v>
      </c>
      <c r="R49" s="626" t="s">
        <v>25</v>
      </c>
      <c r="S49" s="626"/>
      <c r="T49" s="626"/>
      <c r="U49" s="626">
        <f>'[4]NZ.Stat export'!W15</f>
        <v>5.6542292757048793E-2</v>
      </c>
      <c r="V49" s="628">
        <v>42584</v>
      </c>
      <c r="W49" s="627" t="s">
        <v>364</v>
      </c>
    </row>
    <row r="50" spans="1:23" s="629" customFormat="1" ht="15.5" x14ac:dyDescent="0.35">
      <c r="A50" s="629" t="str">
        <f t="shared" si="1"/>
        <v>Scen1_5___15-29_m</v>
      </c>
      <c r="B50" s="626"/>
      <c r="C50" s="629" t="s">
        <v>384</v>
      </c>
      <c r="D50" s="626">
        <v>5</v>
      </c>
      <c r="E50" s="626" t="s">
        <v>223</v>
      </c>
      <c r="F50" s="627" t="s">
        <v>101</v>
      </c>
      <c r="G50" s="626"/>
      <c r="H50" s="629" t="str">
        <f>'MoT Travel Input'!$P$3</f>
        <v>Base case 2043</v>
      </c>
      <c r="K50" s="626"/>
      <c r="L50" s="626"/>
      <c r="M50" s="626"/>
      <c r="N50" s="626"/>
      <c r="O50" s="626"/>
      <c r="P50" s="626"/>
      <c r="Q50" s="626" t="s">
        <v>4</v>
      </c>
      <c r="R50" s="626" t="s">
        <v>25</v>
      </c>
      <c r="S50" s="626"/>
      <c r="T50" s="626"/>
      <c r="U50" s="626">
        <f>'[4]NZ.Stat export'!W16</f>
        <v>9.243626540604423E-2</v>
      </c>
      <c r="V50" s="628">
        <v>42584</v>
      </c>
      <c r="W50" s="627" t="s">
        <v>364</v>
      </c>
    </row>
    <row r="51" spans="1:23" s="629" customFormat="1" ht="15.5" x14ac:dyDescent="0.35">
      <c r="A51" s="629" t="str">
        <f t="shared" si="1"/>
        <v>Scen1_5___30-44_m</v>
      </c>
      <c r="B51" s="626"/>
      <c r="C51" s="629" t="s">
        <v>384</v>
      </c>
      <c r="D51" s="626">
        <v>5</v>
      </c>
      <c r="E51" s="626" t="s">
        <v>223</v>
      </c>
      <c r="F51" s="627" t="s">
        <v>101</v>
      </c>
      <c r="G51" s="626"/>
      <c r="H51" s="629" t="str">
        <f>'MoT Travel Input'!$P$3</f>
        <v>Base case 2043</v>
      </c>
      <c r="K51" s="626"/>
      <c r="L51" s="626"/>
      <c r="M51" s="626"/>
      <c r="N51" s="626"/>
      <c r="O51" s="626"/>
      <c r="P51" s="626"/>
      <c r="Q51" s="626" t="s">
        <v>5</v>
      </c>
      <c r="R51" s="626" t="s">
        <v>25</v>
      </c>
      <c r="S51" s="626"/>
      <c r="T51" s="626"/>
      <c r="U51" s="626">
        <f>'[4]NZ.Stat export'!W17</f>
        <v>9.5036299172716526E-2</v>
      </c>
      <c r="V51" s="628">
        <v>42584</v>
      </c>
      <c r="W51" s="627" t="s">
        <v>364</v>
      </c>
    </row>
    <row r="52" spans="1:23" s="629" customFormat="1" ht="15.5" x14ac:dyDescent="0.35">
      <c r="A52" s="629" t="str">
        <f t="shared" si="1"/>
        <v>Scen1_5___45-59_m</v>
      </c>
      <c r="B52" s="626"/>
      <c r="C52" s="629" t="s">
        <v>384</v>
      </c>
      <c r="D52" s="626">
        <v>5</v>
      </c>
      <c r="E52" s="626" t="s">
        <v>223</v>
      </c>
      <c r="F52" s="627" t="s">
        <v>101</v>
      </c>
      <c r="G52" s="626"/>
      <c r="H52" s="629" t="str">
        <f>'MoT Travel Input'!$P$3</f>
        <v>Base case 2043</v>
      </c>
      <c r="K52" s="626"/>
      <c r="L52" s="626"/>
      <c r="M52" s="626"/>
      <c r="N52" s="626"/>
      <c r="O52" s="626"/>
      <c r="P52" s="626"/>
      <c r="Q52" s="626" t="s">
        <v>6</v>
      </c>
      <c r="R52" s="626" t="s">
        <v>25</v>
      </c>
      <c r="S52" s="626"/>
      <c r="T52" s="626"/>
      <c r="U52" s="626">
        <f>'[4]NZ.Stat export'!W18</f>
        <v>9.777139962856661E-2</v>
      </c>
      <c r="V52" s="628">
        <v>42584</v>
      </c>
      <c r="W52" s="627" t="s">
        <v>364</v>
      </c>
    </row>
    <row r="53" spans="1:23" s="629" customFormat="1" ht="15.5" x14ac:dyDescent="0.35">
      <c r="A53" s="629" t="str">
        <f t="shared" si="1"/>
        <v>Scen1_5___60-69_m</v>
      </c>
      <c r="B53" s="626"/>
      <c r="C53" s="629" t="s">
        <v>384</v>
      </c>
      <c r="D53" s="626">
        <v>5</v>
      </c>
      <c r="E53" s="626" t="s">
        <v>223</v>
      </c>
      <c r="F53" s="627" t="s">
        <v>101</v>
      </c>
      <c r="G53" s="626"/>
      <c r="H53" s="629" t="str">
        <f>'MoT Travel Input'!$P$3</f>
        <v>Base case 2043</v>
      </c>
      <c r="K53" s="626"/>
      <c r="L53" s="626"/>
      <c r="M53" s="626"/>
      <c r="N53" s="626"/>
      <c r="O53" s="626"/>
      <c r="P53" s="626"/>
      <c r="Q53" s="626" t="s">
        <v>7</v>
      </c>
      <c r="R53" s="626" t="s">
        <v>25</v>
      </c>
      <c r="S53" s="626"/>
      <c r="T53" s="626"/>
      <c r="U53" s="626">
        <f>'[4]NZ.Stat export'!W19</f>
        <v>4.6749957791659635E-2</v>
      </c>
      <c r="V53" s="628">
        <v>42584</v>
      </c>
      <c r="W53" s="627" t="s">
        <v>364</v>
      </c>
    </row>
    <row r="54" spans="1:23" s="629" customFormat="1" ht="15.5" x14ac:dyDescent="0.35">
      <c r="A54" s="629" t="str">
        <f t="shared" si="1"/>
        <v>Scen1_5___70-79_m</v>
      </c>
      <c r="B54" s="626"/>
      <c r="C54" s="629" t="s">
        <v>384</v>
      </c>
      <c r="D54" s="626">
        <v>5</v>
      </c>
      <c r="E54" s="626" t="s">
        <v>223</v>
      </c>
      <c r="F54" s="627" t="s">
        <v>101</v>
      </c>
      <c r="G54" s="626"/>
      <c r="H54" s="629" t="str">
        <f>'MoT Travel Input'!$P$3</f>
        <v>Base case 2043</v>
      </c>
      <c r="K54" s="626"/>
      <c r="L54" s="626"/>
      <c r="M54" s="626"/>
      <c r="N54" s="626"/>
      <c r="O54" s="626"/>
      <c r="P54" s="626"/>
      <c r="Q54" s="626" t="s">
        <v>8</v>
      </c>
      <c r="R54" s="626" t="s">
        <v>25</v>
      </c>
      <c r="S54" s="626"/>
      <c r="T54" s="626"/>
      <c r="U54" s="626">
        <f>'[4]NZ.Stat export'!W20</f>
        <v>4.6074624345770726E-2</v>
      </c>
      <c r="V54" s="628">
        <v>42584</v>
      </c>
      <c r="W54" s="627" t="s">
        <v>364</v>
      </c>
    </row>
    <row r="55" spans="1:23" s="629" customFormat="1" ht="15.5" x14ac:dyDescent="0.35">
      <c r="A55" s="629" t="str">
        <f t="shared" si="1"/>
        <v>Scen1_5___80+_m</v>
      </c>
      <c r="B55" s="626"/>
      <c r="C55" s="629" t="s">
        <v>384</v>
      </c>
      <c r="D55" s="626">
        <v>5</v>
      </c>
      <c r="E55" s="626" t="s">
        <v>223</v>
      </c>
      <c r="F55" s="627" t="s">
        <v>101</v>
      </c>
      <c r="G55" s="626"/>
      <c r="H55" s="629" t="str">
        <f>'MoT Travel Input'!$P$3</f>
        <v>Base case 2043</v>
      </c>
      <c r="K55" s="626"/>
      <c r="L55" s="626"/>
      <c r="M55" s="626"/>
      <c r="N55" s="626"/>
      <c r="O55" s="626"/>
      <c r="P55" s="626"/>
      <c r="Q55" s="626" t="s">
        <v>9</v>
      </c>
      <c r="R55" s="626" t="s">
        <v>25</v>
      </c>
      <c r="S55" s="626"/>
      <c r="T55" s="626"/>
      <c r="U55" s="626">
        <f>'[4]NZ.Stat export'!W21</f>
        <v>3.7160222860037145E-2</v>
      </c>
      <c r="V55" s="628">
        <v>42584</v>
      </c>
      <c r="W55" s="627" t="s">
        <v>364</v>
      </c>
    </row>
    <row r="56" spans="1:23" s="629" customFormat="1" ht="15.5" x14ac:dyDescent="0.35">
      <c r="A56" s="629" t="str">
        <f t="shared" si="1"/>
        <v>Scen1_2_Bike__00-04_f</v>
      </c>
      <c r="B56" s="626"/>
      <c r="C56" s="629" t="s">
        <v>384</v>
      </c>
      <c r="D56" s="626">
        <v>2</v>
      </c>
      <c r="E56" s="626" t="s">
        <v>118</v>
      </c>
      <c r="F56" s="627" t="s">
        <v>379</v>
      </c>
      <c r="G56" s="626"/>
      <c r="H56" s="629" t="str">
        <f>'MoT Travel Input'!$P$3</f>
        <v>Base case 2043</v>
      </c>
      <c r="K56" s="626"/>
      <c r="L56" s="626" t="s">
        <v>250</v>
      </c>
      <c r="M56" s="626"/>
      <c r="N56" s="626"/>
      <c r="O56" s="626"/>
      <c r="P56" s="626"/>
      <c r="Q56" s="626" t="s">
        <v>196</v>
      </c>
      <c r="R56" s="626" t="s">
        <v>26</v>
      </c>
      <c r="S56" s="626"/>
      <c r="T56" s="626"/>
      <c r="U56" s="626"/>
      <c r="V56" s="628"/>
      <c r="W56" s="627"/>
    </row>
    <row r="57" spans="1:23" s="629" customFormat="1" ht="15.5" x14ac:dyDescent="0.35">
      <c r="A57" s="629" t="str">
        <f t="shared" si="1"/>
        <v>Scen1_2_Bike__05-14_f</v>
      </c>
      <c r="B57" s="626"/>
      <c r="C57" s="629" t="s">
        <v>384</v>
      </c>
      <c r="D57" s="626">
        <v>2</v>
      </c>
      <c r="E57" s="626" t="s">
        <v>118</v>
      </c>
      <c r="F57" s="627" t="s">
        <v>379</v>
      </c>
      <c r="G57" s="626"/>
      <c r="H57" s="629" t="str">
        <f>'MoT Travel Input'!$P$3</f>
        <v>Base case 2043</v>
      </c>
      <c r="K57" s="626"/>
      <c r="L57" s="626" t="s">
        <v>250</v>
      </c>
      <c r="M57" s="626"/>
      <c r="N57" s="626"/>
      <c r="O57" s="626"/>
      <c r="P57" s="626"/>
      <c r="Q57" s="626" t="s">
        <v>191</v>
      </c>
      <c r="R57" s="626" t="s">
        <v>26</v>
      </c>
      <c r="S57" s="626"/>
      <c r="T57" s="626"/>
      <c r="U57" s="626"/>
      <c r="V57" s="628"/>
      <c r="W57" s="627"/>
    </row>
    <row r="58" spans="1:23" s="629" customFormat="1" ht="15.5" x14ac:dyDescent="0.35">
      <c r="A58" s="629" t="str">
        <f t="shared" si="1"/>
        <v>Scen1_2_Bike__15-29_f</v>
      </c>
      <c r="B58" s="626"/>
      <c r="C58" s="629" t="s">
        <v>384</v>
      </c>
      <c r="D58" s="626">
        <v>2</v>
      </c>
      <c r="E58" s="626" t="s">
        <v>118</v>
      </c>
      <c r="F58" s="627" t="s">
        <v>379</v>
      </c>
      <c r="G58" s="626"/>
      <c r="H58" s="629" t="str">
        <f>'MoT Travel Input'!$P$3</f>
        <v>Base case 2043</v>
      </c>
      <c r="K58" s="626"/>
      <c r="L58" s="626" t="s">
        <v>250</v>
      </c>
      <c r="M58" s="626"/>
      <c r="N58" s="626"/>
      <c r="O58" s="626"/>
      <c r="P58" s="626"/>
      <c r="Q58" s="626" t="s">
        <v>4</v>
      </c>
      <c r="R58" s="626" t="s">
        <v>26</v>
      </c>
      <c r="S58" s="626"/>
      <c r="T58" s="626"/>
      <c r="U58" s="626"/>
      <c r="V58" s="628"/>
      <c r="W58" s="627"/>
    </row>
    <row r="59" spans="1:23" s="629" customFormat="1" ht="15.5" x14ac:dyDescent="0.35">
      <c r="A59" s="629" t="str">
        <f t="shared" si="1"/>
        <v>Scen1_2_Bike__30-44_f</v>
      </c>
      <c r="B59" s="626"/>
      <c r="C59" s="629" t="s">
        <v>384</v>
      </c>
      <c r="D59" s="626">
        <v>2</v>
      </c>
      <c r="E59" s="626" t="s">
        <v>118</v>
      </c>
      <c r="F59" s="627" t="s">
        <v>379</v>
      </c>
      <c r="G59" s="626"/>
      <c r="H59" s="629" t="str">
        <f>'MoT Travel Input'!$P$3</f>
        <v>Base case 2043</v>
      </c>
      <c r="K59" s="626"/>
      <c r="L59" s="626" t="s">
        <v>250</v>
      </c>
      <c r="M59" s="626"/>
      <c r="N59" s="626"/>
      <c r="O59" s="626"/>
      <c r="P59" s="626"/>
      <c r="Q59" s="626" t="s">
        <v>5</v>
      </c>
      <c r="R59" s="626" t="s">
        <v>26</v>
      </c>
      <c r="S59" s="626"/>
      <c r="T59" s="626"/>
      <c r="U59" s="626"/>
      <c r="V59" s="628"/>
      <c r="W59" s="627"/>
    </row>
    <row r="60" spans="1:23" s="629" customFormat="1" ht="15.5" x14ac:dyDescent="0.35">
      <c r="A60" s="629" t="str">
        <f t="shared" si="1"/>
        <v>Scen1_2_Bike__45-59_f</v>
      </c>
      <c r="B60" s="626"/>
      <c r="C60" s="629" t="s">
        <v>384</v>
      </c>
      <c r="D60" s="626">
        <v>2</v>
      </c>
      <c r="E60" s="626" t="s">
        <v>118</v>
      </c>
      <c r="F60" s="627" t="s">
        <v>379</v>
      </c>
      <c r="G60" s="626"/>
      <c r="H60" s="629" t="str">
        <f>'MoT Travel Input'!$P$3</f>
        <v>Base case 2043</v>
      </c>
      <c r="K60" s="626"/>
      <c r="L60" s="626" t="s">
        <v>250</v>
      </c>
      <c r="M60" s="626"/>
      <c r="N60" s="626"/>
      <c r="O60" s="626"/>
      <c r="P60" s="626"/>
      <c r="Q60" s="626" t="s">
        <v>6</v>
      </c>
      <c r="R60" s="626" t="s">
        <v>26</v>
      </c>
      <c r="S60" s="626"/>
      <c r="T60" s="626"/>
      <c r="U60" s="626"/>
      <c r="V60" s="628"/>
      <c r="W60" s="627"/>
    </row>
    <row r="61" spans="1:23" s="629" customFormat="1" ht="15.5" x14ac:dyDescent="0.35">
      <c r="A61" s="629" t="str">
        <f t="shared" si="1"/>
        <v>Scen1_2_Bike__60-69_f</v>
      </c>
      <c r="B61" s="626"/>
      <c r="C61" s="629" t="s">
        <v>384</v>
      </c>
      <c r="D61" s="626">
        <v>2</v>
      </c>
      <c r="E61" s="626" t="s">
        <v>118</v>
      </c>
      <c r="F61" s="627" t="s">
        <v>379</v>
      </c>
      <c r="G61" s="626"/>
      <c r="H61" s="629" t="str">
        <f>'MoT Travel Input'!$P$3</f>
        <v>Base case 2043</v>
      </c>
      <c r="K61" s="626"/>
      <c r="L61" s="626" t="s">
        <v>250</v>
      </c>
      <c r="M61" s="626"/>
      <c r="N61" s="626"/>
      <c r="O61" s="626"/>
      <c r="P61" s="626"/>
      <c r="Q61" s="626" t="s">
        <v>7</v>
      </c>
      <c r="R61" s="626" t="s">
        <v>26</v>
      </c>
      <c r="S61" s="626"/>
      <c r="T61" s="626"/>
      <c r="U61" s="626"/>
      <c r="V61" s="628"/>
      <c r="W61" s="627"/>
    </row>
    <row r="62" spans="1:23" s="629" customFormat="1" ht="15.5" x14ac:dyDescent="0.35">
      <c r="A62" s="629" t="str">
        <f t="shared" si="1"/>
        <v>Scen1_2_Bike__70-79_f</v>
      </c>
      <c r="B62" s="626"/>
      <c r="C62" s="629" t="s">
        <v>384</v>
      </c>
      <c r="D62" s="626">
        <v>2</v>
      </c>
      <c r="E62" s="626" t="s">
        <v>118</v>
      </c>
      <c r="F62" s="627" t="s">
        <v>379</v>
      </c>
      <c r="G62" s="626"/>
      <c r="H62" s="629" t="str">
        <f>'MoT Travel Input'!$P$3</f>
        <v>Base case 2043</v>
      </c>
      <c r="K62" s="626"/>
      <c r="L62" s="626" t="s">
        <v>250</v>
      </c>
      <c r="M62" s="626"/>
      <c r="N62" s="626"/>
      <c r="O62" s="626"/>
      <c r="P62" s="626"/>
      <c r="Q62" s="626" t="s">
        <v>8</v>
      </c>
      <c r="R62" s="626" t="s">
        <v>26</v>
      </c>
      <c r="S62" s="626"/>
      <c r="T62" s="626"/>
      <c r="U62" s="626"/>
      <c r="V62" s="628"/>
      <c r="W62" s="627"/>
    </row>
    <row r="63" spans="1:23" s="629" customFormat="1" ht="15.5" x14ac:dyDescent="0.35">
      <c r="A63" s="629" t="str">
        <f t="shared" si="1"/>
        <v>Scen1_2_Bike__80+_f</v>
      </c>
      <c r="B63" s="626"/>
      <c r="C63" s="629" t="s">
        <v>384</v>
      </c>
      <c r="D63" s="626">
        <v>2</v>
      </c>
      <c r="E63" s="626" t="s">
        <v>118</v>
      </c>
      <c r="F63" s="627" t="s">
        <v>379</v>
      </c>
      <c r="G63" s="626"/>
      <c r="H63" s="629" t="str">
        <f>'MoT Travel Input'!$P$3</f>
        <v>Base case 2043</v>
      </c>
      <c r="K63" s="626"/>
      <c r="L63" s="626" t="s">
        <v>250</v>
      </c>
      <c r="M63" s="626"/>
      <c r="N63" s="626"/>
      <c r="O63" s="626"/>
      <c r="P63" s="626"/>
      <c r="Q63" s="626" t="s">
        <v>9</v>
      </c>
      <c r="R63" s="626" t="s">
        <v>26</v>
      </c>
      <c r="S63" s="626"/>
      <c r="T63" s="626"/>
      <c r="U63" s="626"/>
      <c r="V63" s="628"/>
      <c r="W63" s="627"/>
    </row>
    <row r="64" spans="1:23" s="629" customFormat="1" ht="15.5" x14ac:dyDescent="0.35">
      <c r="A64" s="629" t="str">
        <f t="shared" si="1"/>
        <v>Scen1_2_Bike__00-04_m</v>
      </c>
      <c r="B64" s="626"/>
      <c r="C64" s="629" t="s">
        <v>384</v>
      </c>
      <c r="D64" s="626">
        <v>2</v>
      </c>
      <c r="E64" s="626" t="s">
        <v>118</v>
      </c>
      <c r="F64" s="627" t="s">
        <v>379</v>
      </c>
      <c r="G64" s="626"/>
      <c r="H64" s="629" t="str">
        <f>'MoT Travel Input'!$P$3</f>
        <v>Base case 2043</v>
      </c>
      <c r="K64" s="626"/>
      <c r="L64" s="626" t="s">
        <v>250</v>
      </c>
      <c r="M64" s="626"/>
      <c r="N64" s="626"/>
      <c r="O64" s="626"/>
      <c r="P64" s="626"/>
      <c r="Q64" s="626" t="s">
        <v>196</v>
      </c>
      <c r="R64" s="626" t="s">
        <v>25</v>
      </c>
      <c r="S64" s="626"/>
      <c r="T64" s="626"/>
      <c r="U64" s="626"/>
      <c r="V64" s="628"/>
      <c r="W64" s="627"/>
    </row>
    <row r="65" spans="1:23" s="629" customFormat="1" ht="15.5" x14ac:dyDescent="0.35">
      <c r="A65" s="629" t="str">
        <f t="shared" si="1"/>
        <v>Scen1_2_Bike__05-14_m</v>
      </c>
      <c r="B65" s="626"/>
      <c r="C65" s="629" t="s">
        <v>384</v>
      </c>
      <c r="D65" s="626">
        <v>2</v>
      </c>
      <c r="E65" s="626" t="s">
        <v>118</v>
      </c>
      <c r="F65" s="627" t="s">
        <v>379</v>
      </c>
      <c r="G65" s="626"/>
      <c r="H65" s="629" t="str">
        <f>'MoT Travel Input'!$P$3</f>
        <v>Base case 2043</v>
      </c>
      <c r="K65" s="626"/>
      <c r="L65" s="626" t="s">
        <v>250</v>
      </c>
      <c r="M65" s="626"/>
      <c r="N65" s="626"/>
      <c r="O65" s="626"/>
      <c r="P65" s="626"/>
      <c r="Q65" s="626" t="s">
        <v>191</v>
      </c>
      <c r="R65" s="626" t="s">
        <v>25</v>
      </c>
      <c r="S65" s="626"/>
      <c r="T65" s="626"/>
      <c r="U65" s="626"/>
      <c r="V65" s="628"/>
      <c r="W65" s="627"/>
    </row>
    <row r="66" spans="1:23" s="629" customFormat="1" ht="15.5" x14ac:dyDescent="0.35">
      <c r="A66" s="629" t="str">
        <f t="shared" si="1"/>
        <v>Scen1_2_Bike__15-29_m</v>
      </c>
      <c r="B66" s="626"/>
      <c r="C66" s="629" t="s">
        <v>384</v>
      </c>
      <c r="D66" s="626">
        <v>2</v>
      </c>
      <c r="E66" s="626" t="s">
        <v>118</v>
      </c>
      <c r="F66" s="627" t="s">
        <v>379</v>
      </c>
      <c r="G66" s="626"/>
      <c r="H66" s="629" t="str">
        <f>'MoT Travel Input'!$P$3</f>
        <v>Base case 2043</v>
      </c>
      <c r="K66" s="626"/>
      <c r="L66" s="626" t="s">
        <v>250</v>
      </c>
      <c r="M66" s="626"/>
      <c r="N66" s="626"/>
      <c r="O66" s="626"/>
      <c r="P66" s="626"/>
      <c r="Q66" s="626" t="s">
        <v>4</v>
      </c>
      <c r="R66" s="626" t="s">
        <v>25</v>
      </c>
      <c r="S66" s="626"/>
      <c r="T66" s="626"/>
      <c r="U66" s="626"/>
      <c r="V66" s="628"/>
      <c r="W66" s="627"/>
    </row>
    <row r="67" spans="1:23" s="629" customFormat="1" ht="15.5" x14ac:dyDescent="0.35">
      <c r="A67" s="629" t="str">
        <f t="shared" si="1"/>
        <v>Scen1_2_Bike__30-44_m</v>
      </c>
      <c r="B67" s="626"/>
      <c r="C67" s="629" t="s">
        <v>384</v>
      </c>
      <c r="D67" s="626">
        <v>2</v>
      </c>
      <c r="E67" s="626" t="s">
        <v>118</v>
      </c>
      <c r="F67" s="627" t="s">
        <v>379</v>
      </c>
      <c r="G67" s="626"/>
      <c r="H67" s="629" t="str">
        <f>'MoT Travel Input'!$P$3</f>
        <v>Base case 2043</v>
      </c>
      <c r="K67" s="626"/>
      <c r="L67" s="626" t="s">
        <v>250</v>
      </c>
      <c r="M67" s="626"/>
      <c r="N67" s="626"/>
      <c r="O67" s="626"/>
      <c r="P67" s="626"/>
      <c r="Q67" s="626" t="s">
        <v>5</v>
      </c>
      <c r="R67" s="626" t="s">
        <v>25</v>
      </c>
      <c r="S67" s="626"/>
      <c r="T67" s="626"/>
      <c r="U67" s="626"/>
      <c r="V67" s="628"/>
      <c r="W67" s="627"/>
    </row>
    <row r="68" spans="1:23" s="629" customFormat="1" ht="15.5" x14ac:dyDescent="0.35">
      <c r="A68" s="629" t="str">
        <f t="shared" si="1"/>
        <v>Scen1_2_Bike__45-59_m</v>
      </c>
      <c r="B68" s="626"/>
      <c r="C68" s="629" t="s">
        <v>384</v>
      </c>
      <c r="D68" s="626">
        <v>2</v>
      </c>
      <c r="E68" s="626" t="s">
        <v>118</v>
      </c>
      <c r="F68" s="627" t="s">
        <v>379</v>
      </c>
      <c r="G68" s="626"/>
      <c r="H68" s="629" t="str">
        <f>'MoT Travel Input'!$P$3</f>
        <v>Base case 2043</v>
      </c>
      <c r="K68" s="626"/>
      <c r="L68" s="626" t="s">
        <v>250</v>
      </c>
      <c r="M68" s="626"/>
      <c r="N68" s="626"/>
      <c r="O68" s="626"/>
      <c r="P68" s="626"/>
      <c r="Q68" s="626" t="s">
        <v>6</v>
      </c>
      <c r="R68" s="626" t="s">
        <v>25</v>
      </c>
      <c r="S68" s="626"/>
      <c r="T68" s="626"/>
      <c r="U68" s="626"/>
      <c r="V68" s="628"/>
      <c r="W68" s="627"/>
    </row>
    <row r="69" spans="1:23" s="629" customFormat="1" ht="15.5" x14ac:dyDescent="0.35">
      <c r="A69" s="629" t="str">
        <f t="shared" si="1"/>
        <v>Scen1_2_Bike__60-69_m</v>
      </c>
      <c r="B69" s="626"/>
      <c r="C69" s="629" t="s">
        <v>384</v>
      </c>
      <c r="D69" s="626">
        <v>2</v>
      </c>
      <c r="E69" s="626" t="s">
        <v>118</v>
      </c>
      <c r="F69" s="627" t="s">
        <v>379</v>
      </c>
      <c r="G69" s="626"/>
      <c r="H69" s="629" t="str">
        <f>'MoT Travel Input'!$P$3</f>
        <v>Base case 2043</v>
      </c>
      <c r="K69" s="626"/>
      <c r="L69" s="626" t="s">
        <v>250</v>
      </c>
      <c r="M69" s="626"/>
      <c r="N69" s="626"/>
      <c r="O69" s="626"/>
      <c r="P69" s="626"/>
      <c r="Q69" s="626" t="s">
        <v>7</v>
      </c>
      <c r="R69" s="626" t="s">
        <v>25</v>
      </c>
      <c r="S69" s="626"/>
      <c r="T69" s="626"/>
      <c r="U69" s="626"/>
      <c r="V69" s="628"/>
      <c r="W69" s="627"/>
    </row>
    <row r="70" spans="1:23" s="629" customFormat="1" ht="15.5" x14ac:dyDescent="0.35">
      <c r="A70" s="629" t="str">
        <f t="shared" si="1"/>
        <v>Scen1_2_Bike__70-79_m</v>
      </c>
      <c r="B70" s="626"/>
      <c r="C70" s="629" t="s">
        <v>384</v>
      </c>
      <c r="D70" s="626">
        <v>2</v>
      </c>
      <c r="E70" s="626" t="s">
        <v>118</v>
      </c>
      <c r="F70" s="627" t="s">
        <v>379</v>
      </c>
      <c r="G70" s="626"/>
      <c r="H70" s="629" t="str">
        <f>'MoT Travel Input'!$P$3</f>
        <v>Base case 2043</v>
      </c>
      <c r="K70" s="626"/>
      <c r="L70" s="626" t="s">
        <v>250</v>
      </c>
      <c r="M70" s="626"/>
      <c r="N70" s="626"/>
      <c r="O70" s="626"/>
      <c r="P70" s="626"/>
      <c r="Q70" s="626" t="s">
        <v>8</v>
      </c>
      <c r="R70" s="626" t="s">
        <v>25</v>
      </c>
      <c r="S70" s="626"/>
      <c r="T70" s="626"/>
      <c r="U70" s="626"/>
      <c r="V70" s="628"/>
      <c r="W70" s="627"/>
    </row>
    <row r="71" spans="1:23" s="629" customFormat="1" ht="15.5" x14ac:dyDescent="0.35">
      <c r="A71" s="629" t="str">
        <f t="shared" si="1"/>
        <v>Scen1_2_Bike__80+_m</v>
      </c>
      <c r="B71" s="626"/>
      <c r="C71" s="629" t="s">
        <v>384</v>
      </c>
      <c r="D71" s="626">
        <v>2</v>
      </c>
      <c r="E71" s="626" t="s">
        <v>118</v>
      </c>
      <c r="F71" s="627" t="s">
        <v>379</v>
      </c>
      <c r="G71" s="626"/>
      <c r="H71" s="629" t="str">
        <f>'MoT Travel Input'!$P$3</f>
        <v>Base case 2043</v>
      </c>
      <c r="K71" s="626"/>
      <c r="L71" s="626" t="s">
        <v>250</v>
      </c>
      <c r="M71" s="626"/>
      <c r="N71" s="626"/>
      <c r="O71" s="626"/>
      <c r="P71" s="626"/>
      <c r="Q71" s="626" t="s">
        <v>9</v>
      </c>
      <c r="R71" s="626" t="s">
        <v>25</v>
      </c>
      <c r="S71" s="626"/>
      <c r="T71" s="626"/>
      <c r="U71" s="626"/>
      <c r="V71" s="628"/>
      <c r="W71" s="627"/>
    </row>
    <row r="72" spans="1:23" s="629" customFormat="1" ht="15.5" x14ac:dyDescent="0.35">
      <c r="A72" s="629" t="str">
        <f t="shared" si="1"/>
        <v>Scen1_2_Walk__00-04_f</v>
      </c>
      <c r="B72" s="626"/>
      <c r="C72" s="629" t="s">
        <v>384</v>
      </c>
      <c r="D72" s="626">
        <v>2</v>
      </c>
      <c r="E72" s="626" t="s">
        <v>118</v>
      </c>
      <c r="F72" s="627" t="s">
        <v>379</v>
      </c>
      <c r="G72" s="626"/>
      <c r="H72" s="629" t="str">
        <f>'MoT Travel Input'!$P$3</f>
        <v>Base case 2043</v>
      </c>
      <c r="K72" s="626"/>
      <c r="L72" s="626" t="s">
        <v>249</v>
      </c>
      <c r="M72" s="626"/>
      <c r="N72" s="626"/>
      <c r="O72" s="626"/>
      <c r="P72" s="626"/>
      <c r="Q72" s="626" t="s">
        <v>196</v>
      </c>
      <c r="R72" s="626" t="s">
        <v>26</v>
      </c>
      <c r="S72" s="626"/>
      <c r="T72" s="626"/>
      <c r="U72" s="626"/>
      <c r="V72" s="628"/>
      <c r="W72" s="627"/>
    </row>
    <row r="73" spans="1:23" s="629" customFormat="1" ht="15.5" x14ac:dyDescent="0.35">
      <c r="A73" s="629" t="str">
        <f t="shared" si="1"/>
        <v>Scen1_2_Walk__05-14_f</v>
      </c>
      <c r="B73" s="626"/>
      <c r="C73" s="629" t="s">
        <v>384</v>
      </c>
      <c r="D73" s="626">
        <v>2</v>
      </c>
      <c r="E73" s="626" t="s">
        <v>118</v>
      </c>
      <c r="F73" s="627" t="s">
        <v>379</v>
      </c>
      <c r="G73" s="626"/>
      <c r="H73" s="629" t="str">
        <f>'MoT Travel Input'!$P$3</f>
        <v>Base case 2043</v>
      </c>
      <c r="K73" s="626"/>
      <c r="L73" s="626" t="s">
        <v>249</v>
      </c>
      <c r="M73" s="626"/>
      <c r="N73" s="626"/>
      <c r="O73" s="626"/>
      <c r="P73" s="626"/>
      <c r="Q73" s="626" t="s">
        <v>191</v>
      </c>
      <c r="R73" s="626" t="s">
        <v>26</v>
      </c>
      <c r="S73" s="626"/>
      <c r="T73" s="626"/>
      <c r="U73" s="626"/>
      <c r="V73" s="628"/>
      <c r="W73" s="627"/>
    </row>
    <row r="74" spans="1:23" s="629" customFormat="1" ht="15.5" x14ac:dyDescent="0.35">
      <c r="A74" s="629" t="str">
        <f t="shared" si="1"/>
        <v>Scen1_2_Walk__15-29_f</v>
      </c>
      <c r="B74" s="626"/>
      <c r="C74" s="629" t="s">
        <v>384</v>
      </c>
      <c r="D74" s="626">
        <v>2</v>
      </c>
      <c r="E74" s="626" t="s">
        <v>118</v>
      </c>
      <c r="F74" s="627" t="s">
        <v>379</v>
      </c>
      <c r="G74" s="626"/>
      <c r="H74" s="629" t="str">
        <f>'MoT Travel Input'!$P$3</f>
        <v>Base case 2043</v>
      </c>
      <c r="K74" s="626"/>
      <c r="L74" s="626" t="s">
        <v>249</v>
      </c>
      <c r="M74" s="626"/>
      <c r="N74" s="626"/>
      <c r="O74" s="626"/>
      <c r="P74" s="626"/>
      <c r="Q74" s="626" t="s">
        <v>4</v>
      </c>
      <c r="R74" s="626" t="s">
        <v>26</v>
      </c>
      <c r="S74" s="626"/>
      <c r="T74" s="626"/>
      <c r="U74" s="626"/>
      <c r="V74" s="628"/>
      <c r="W74" s="627"/>
    </row>
    <row r="75" spans="1:23" s="629" customFormat="1" ht="15.5" x14ac:dyDescent="0.35">
      <c r="A75" s="629" t="str">
        <f t="shared" si="1"/>
        <v>Scen1_2_Walk__30-44_f</v>
      </c>
      <c r="B75" s="626"/>
      <c r="C75" s="629" t="s">
        <v>384</v>
      </c>
      <c r="D75" s="626">
        <v>2</v>
      </c>
      <c r="E75" s="626" t="s">
        <v>118</v>
      </c>
      <c r="F75" s="627" t="s">
        <v>379</v>
      </c>
      <c r="G75" s="626"/>
      <c r="H75" s="629" t="str">
        <f>'MoT Travel Input'!$P$3</f>
        <v>Base case 2043</v>
      </c>
      <c r="K75" s="626"/>
      <c r="L75" s="626" t="s">
        <v>249</v>
      </c>
      <c r="M75" s="626"/>
      <c r="N75" s="626"/>
      <c r="O75" s="626"/>
      <c r="P75" s="626"/>
      <c r="Q75" s="626" t="s">
        <v>5</v>
      </c>
      <c r="R75" s="626" t="s">
        <v>26</v>
      </c>
      <c r="S75" s="626"/>
      <c r="T75" s="626"/>
      <c r="U75" s="626"/>
      <c r="V75" s="628"/>
      <c r="W75" s="627"/>
    </row>
    <row r="76" spans="1:23" s="629" customFormat="1" ht="15.5" x14ac:dyDescent="0.35">
      <c r="A76" s="629" t="str">
        <f t="shared" si="1"/>
        <v>Scen1_2_Walk__45-59_f</v>
      </c>
      <c r="B76" s="626"/>
      <c r="C76" s="629" t="s">
        <v>384</v>
      </c>
      <c r="D76" s="626">
        <v>2</v>
      </c>
      <c r="E76" s="626" t="s">
        <v>118</v>
      </c>
      <c r="F76" s="627" t="s">
        <v>379</v>
      </c>
      <c r="G76" s="626"/>
      <c r="H76" s="629" t="str">
        <f>'MoT Travel Input'!$P$3</f>
        <v>Base case 2043</v>
      </c>
      <c r="K76" s="626"/>
      <c r="L76" s="626" t="s">
        <v>249</v>
      </c>
      <c r="M76" s="626"/>
      <c r="N76" s="626"/>
      <c r="O76" s="626"/>
      <c r="P76" s="626"/>
      <c r="Q76" s="626" t="s">
        <v>6</v>
      </c>
      <c r="R76" s="626" t="s">
        <v>26</v>
      </c>
      <c r="S76" s="626"/>
      <c r="T76" s="626"/>
      <c r="U76" s="626"/>
      <c r="V76" s="628"/>
      <c r="W76" s="627"/>
    </row>
    <row r="77" spans="1:23" s="629" customFormat="1" ht="15.5" x14ac:dyDescent="0.35">
      <c r="A77" s="629" t="str">
        <f t="shared" si="1"/>
        <v>Scen1_2_Walk__60-69_f</v>
      </c>
      <c r="B77" s="626"/>
      <c r="C77" s="629" t="s">
        <v>384</v>
      </c>
      <c r="D77" s="626">
        <v>2</v>
      </c>
      <c r="E77" s="626" t="s">
        <v>118</v>
      </c>
      <c r="F77" s="627" t="s">
        <v>379</v>
      </c>
      <c r="G77" s="626"/>
      <c r="H77" s="629" t="str">
        <f>'MoT Travel Input'!$P$3</f>
        <v>Base case 2043</v>
      </c>
      <c r="K77" s="626"/>
      <c r="L77" s="626" t="s">
        <v>249</v>
      </c>
      <c r="M77" s="626"/>
      <c r="N77" s="626"/>
      <c r="O77" s="626"/>
      <c r="P77" s="626"/>
      <c r="Q77" s="626" t="s">
        <v>7</v>
      </c>
      <c r="R77" s="626" t="s">
        <v>26</v>
      </c>
      <c r="S77" s="626"/>
      <c r="T77" s="626"/>
      <c r="U77" s="626"/>
      <c r="V77" s="628"/>
      <c r="W77" s="627"/>
    </row>
    <row r="78" spans="1:23" s="629" customFormat="1" ht="15.5" x14ac:dyDescent="0.35">
      <c r="A78" s="629" t="str">
        <f t="shared" si="1"/>
        <v>Scen1_2_Walk__70-79_f</v>
      </c>
      <c r="B78" s="626"/>
      <c r="C78" s="629" t="s">
        <v>384</v>
      </c>
      <c r="D78" s="626">
        <v>2</v>
      </c>
      <c r="E78" s="626" t="s">
        <v>118</v>
      </c>
      <c r="F78" s="627" t="s">
        <v>379</v>
      </c>
      <c r="G78" s="626"/>
      <c r="H78" s="629" t="str">
        <f>'MoT Travel Input'!$P$3</f>
        <v>Base case 2043</v>
      </c>
      <c r="K78" s="626"/>
      <c r="L78" s="626" t="s">
        <v>249</v>
      </c>
      <c r="M78" s="626"/>
      <c r="N78" s="626"/>
      <c r="O78" s="626"/>
      <c r="P78" s="626"/>
      <c r="Q78" s="626" t="s">
        <v>8</v>
      </c>
      <c r="R78" s="626" t="s">
        <v>26</v>
      </c>
      <c r="S78" s="626"/>
      <c r="T78" s="626"/>
      <c r="U78" s="626"/>
      <c r="V78" s="628"/>
      <c r="W78" s="627"/>
    </row>
    <row r="79" spans="1:23" s="629" customFormat="1" ht="15.5" x14ac:dyDescent="0.35">
      <c r="A79" s="629" t="str">
        <f t="shared" si="1"/>
        <v>Scen1_2_Walk__80+_f</v>
      </c>
      <c r="B79" s="626"/>
      <c r="C79" s="629" t="s">
        <v>384</v>
      </c>
      <c r="D79" s="626">
        <v>2</v>
      </c>
      <c r="E79" s="626" t="s">
        <v>118</v>
      </c>
      <c r="F79" s="627" t="s">
        <v>379</v>
      </c>
      <c r="G79" s="626"/>
      <c r="H79" s="629" t="str">
        <f>'MoT Travel Input'!$P$3</f>
        <v>Base case 2043</v>
      </c>
      <c r="K79" s="626"/>
      <c r="L79" s="626" t="s">
        <v>249</v>
      </c>
      <c r="M79" s="626"/>
      <c r="N79" s="626"/>
      <c r="O79" s="626"/>
      <c r="P79" s="626"/>
      <c r="Q79" s="626" t="s">
        <v>9</v>
      </c>
      <c r="R79" s="626" t="s">
        <v>26</v>
      </c>
      <c r="S79" s="626"/>
      <c r="T79" s="626"/>
      <c r="U79" s="626"/>
      <c r="V79" s="628"/>
      <c r="W79" s="627"/>
    </row>
    <row r="80" spans="1:23" s="629" customFormat="1" ht="15.5" x14ac:dyDescent="0.35">
      <c r="A80" s="629" t="str">
        <f t="shared" si="1"/>
        <v>Scen1_2_Walk__00-04_m</v>
      </c>
      <c r="B80" s="626"/>
      <c r="C80" s="629" t="s">
        <v>384</v>
      </c>
      <c r="D80" s="626">
        <v>2</v>
      </c>
      <c r="E80" s="626" t="s">
        <v>118</v>
      </c>
      <c r="F80" s="627" t="s">
        <v>379</v>
      </c>
      <c r="G80" s="626"/>
      <c r="H80" s="629" t="str">
        <f>'MoT Travel Input'!$P$3</f>
        <v>Base case 2043</v>
      </c>
      <c r="K80" s="626"/>
      <c r="L80" s="626" t="s">
        <v>249</v>
      </c>
      <c r="M80" s="626"/>
      <c r="N80" s="626"/>
      <c r="O80" s="626"/>
      <c r="P80" s="626"/>
      <c r="Q80" s="626" t="s">
        <v>196</v>
      </c>
      <c r="R80" s="626" t="s">
        <v>25</v>
      </c>
      <c r="S80" s="626"/>
      <c r="T80" s="626"/>
      <c r="U80" s="626"/>
      <c r="V80" s="628"/>
      <c r="W80" s="627"/>
    </row>
    <row r="81" spans="1:23" s="629" customFormat="1" ht="15.5" x14ac:dyDescent="0.35">
      <c r="A81" s="629" t="str">
        <f t="shared" si="1"/>
        <v>Scen1_2_Walk__05-14_m</v>
      </c>
      <c r="B81" s="626"/>
      <c r="C81" s="629" t="s">
        <v>384</v>
      </c>
      <c r="D81" s="626">
        <v>2</v>
      </c>
      <c r="E81" s="626" t="s">
        <v>118</v>
      </c>
      <c r="F81" s="627" t="s">
        <v>379</v>
      </c>
      <c r="G81" s="626"/>
      <c r="H81" s="629" t="str">
        <f>'MoT Travel Input'!$P$3</f>
        <v>Base case 2043</v>
      </c>
      <c r="K81" s="626"/>
      <c r="L81" s="626" t="s">
        <v>249</v>
      </c>
      <c r="M81" s="626"/>
      <c r="N81" s="626"/>
      <c r="O81" s="626"/>
      <c r="P81" s="626"/>
      <c r="Q81" s="626" t="s">
        <v>191</v>
      </c>
      <c r="R81" s="626" t="s">
        <v>25</v>
      </c>
      <c r="S81" s="626"/>
      <c r="T81" s="626"/>
      <c r="U81" s="626"/>
      <c r="V81" s="628"/>
      <c r="W81" s="627"/>
    </row>
    <row r="82" spans="1:23" s="629" customFormat="1" ht="15.5" x14ac:dyDescent="0.35">
      <c r="A82" s="629" t="str">
        <f t="shared" si="1"/>
        <v>Scen1_2_Walk__15-29_m</v>
      </c>
      <c r="B82" s="626"/>
      <c r="C82" s="629" t="s">
        <v>384</v>
      </c>
      <c r="D82" s="626">
        <v>2</v>
      </c>
      <c r="E82" s="626" t="s">
        <v>118</v>
      </c>
      <c r="F82" s="627" t="s">
        <v>379</v>
      </c>
      <c r="G82" s="626"/>
      <c r="H82" s="629" t="str">
        <f>'MoT Travel Input'!$P$3</f>
        <v>Base case 2043</v>
      </c>
      <c r="K82" s="626"/>
      <c r="L82" s="626" t="s">
        <v>249</v>
      </c>
      <c r="M82" s="626"/>
      <c r="N82" s="626"/>
      <c r="O82" s="626"/>
      <c r="P82" s="626"/>
      <c r="Q82" s="626" t="s">
        <v>4</v>
      </c>
      <c r="R82" s="626" t="s">
        <v>25</v>
      </c>
      <c r="S82" s="626"/>
      <c r="T82" s="626"/>
      <c r="U82" s="626"/>
      <c r="V82" s="628"/>
      <c r="W82" s="627"/>
    </row>
    <row r="83" spans="1:23" s="629" customFormat="1" ht="15.5" x14ac:dyDescent="0.35">
      <c r="A83" s="629" t="str">
        <f t="shared" si="1"/>
        <v>Scen1_2_Walk__30-44_m</v>
      </c>
      <c r="B83" s="626"/>
      <c r="C83" s="629" t="s">
        <v>384</v>
      </c>
      <c r="D83" s="626">
        <v>2</v>
      </c>
      <c r="E83" s="626" t="s">
        <v>118</v>
      </c>
      <c r="F83" s="627" t="s">
        <v>379</v>
      </c>
      <c r="G83" s="626"/>
      <c r="H83" s="629" t="str">
        <f>'MoT Travel Input'!$P$3</f>
        <v>Base case 2043</v>
      </c>
      <c r="K83" s="626"/>
      <c r="L83" s="626" t="s">
        <v>249</v>
      </c>
      <c r="M83" s="626"/>
      <c r="N83" s="626"/>
      <c r="O83" s="626"/>
      <c r="P83" s="626"/>
      <c r="Q83" s="626" t="s">
        <v>5</v>
      </c>
      <c r="R83" s="626" t="s">
        <v>25</v>
      </c>
      <c r="S83" s="626"/>
      <c r="T83" s="626"/>
      <c r="U83" s="626"/>
      <c r="V83" s="628"/>
      <c r="W83" s="627"/>
    </row>
    <row r="84" spans="1:23" s="629" customFormat="1" ht="15.5" x14ac:dyDescent="0.35">
      <c r="A84" s="629" t="str">
        <f t="shared" si="1"/>
        <v>Scen1_2_Walk__45-59_m</v>
      </c>
      <c r="B84" s="626"/>
      <c r="C84" s="629" t="s">
        <v>384</v>
      </c>
      <c r="D84" s="626">
        <v>2</v>
      </c>
      <c r="E84" s="626" t="s">
        <v>118</v>
      </c>
      <c r="F84" s="627" t="s">
        <v>379</v>
      </c>
      <c r="G84" s="626"/>
      <c r="H84" s="629" t="str">
        <f>'MoT Travel Input'!$P$3</f>
        <v>Base case 2043</v>
      </c>
      <c r="K84" s="626"/>
      <c r="L84" s="626" t="s">
        <v>249</v>
      </c>
      <c r="M84" s="626"/>
      <c r="N84" s="626"/>
      <c r="O84" s="626"/>
      <c r="P84" s="626"/>
      <c r="Q84" s="626" t="s">
        <v>6</v>
      </c>
      <c r="R84" s="626" t="s">
        <v>25</v>
      </c>
      <c r="S84" s="626"/>
      <c r="T84" s="626"/>
      <c r="U84" s="626"/>
      <c r="V84" s="628"/>
      <c r="W84" s="627"/>
    </row>
    <row r="85" spans="1:23" s="629" customFormat="1" ht="15.5" x14ac:dyDescent="0.35">
      <c r="A85" s="629" t="str">
        <f t="shared" si="1"/>
        <v>Scen1_2_Walk__60-69_m</v>
      </c>
      <c r="B85" s="626"/>
      <c r="C85" s="629" t="s">
        <v>384</v>
      </c>
      <c r="D85" s="626">
        <v>2</v>
      </c>
      <c r="E85" s="626" t="s">
        <v>118</v>
      </c>
      <c r="F85" s="627" t="s">
        <v>379</v>
      </c>
      <c r="G85" s="626"/>
      <c r="H85" s="629" t="str">
        <f>'MoT Travel Input'!$P$3</f>
        <v>Base case 2043</v>
      </c>
      <c r="K85" s="626"/>
      <c r="L85" s="626" t="s">
        <v>249</v>
      </c>
      <c r="M85" s="626"/>
      <c r="N85" s="626"/>
      <c r="O85" s="626"/>
      <c r="P85" s="626"/>
      <c r="Q85" s="626" t="s">
        <v>7</v>
      </c>
      <c r="R85" s="626" t="s">
        <v>25</v>
      </c>
      <c r="S85" s="626"/>
      <c r="T85" s="626"/>
      <c r="U85" s="626"/>
      <c r="V85" s="628"/>
      <c r="W85" s="627"/>
    </row>
    <row r="86" spans="1:23" s="629" customFormat="1" ht="15.5" x14ac:dyDescent="0.35">
      <c r="A86" s="629" t="str">
        <f t="shared" si="1"/>
        <v>Scen1_2_Walk__70-79_m</v>
      </c>
      <c r="B86" s="626"/>
      <c r="C86" s="629" t="s">
        <v>384</v>
      </c>
      <c r="D86" s="626">
        <v>2</v>
      </c>
      <c r="E86" s="626" t="s">
        <v>118</v>
      </c>
      <c r="F86" s="627" t="s">
        <v>379</v>
      </c>
      <c r="G86" s="626"/>
      <c r="H86" s="629" t="str">
        <f>'MoT Travel Input'!$P$3</f>
        <v>Base case 2043</v>
      </c>
      <c r="K86" s="626"/>
      <c r="L86" s="626" t="s">
        <v>249</v>
      </c>
      <c r="M86" s="626"/>
      <c r="N86" s="626"/>
      <c r="O86" s="626"/>
      <c r="P86" s="626"/>
      <c r="Q86" s="626" t="s">
        <v>8</v>
      </c>
      <c r="R86" s="626" t="s">
        <v>25</v>
      </c>
      <c r="S86" s="626"/>
      <c r="T86" s="626"/>
      <c r="U86" s="626"/>
      <c r="V86" s="628"/>
      <c r="W86" s="627"/>
    </row>
    <row r="87" spans="1:23" s="629" customFormat="1" ht="15.5" x14ac:dyDescent="0.35">
      <c r="A87" s="629" t="str">
        <f t="shared" si="1"/>
        <v>Scen1_2_Walk__80+_m</v>
      </c>
      <c r="B87" s="626"/>
      <c r="C87" s="629" t="s">
        <v>384</v>
      </c>
      <c r="D87" s="626">
        <v>2</v>
      </c>
      <c r="E87" s="626" t="s">
        <v>118</v>
      </c>
      <c r="F87" s="627" t="s">
        <v>379</v>
      </c>
      <c r="G87" s="626"/>
      <c r="H87" s="629" t="str">
        <f>'MoT Travel Input'!$P$3</f>
        <v>Base case 2043</v>
      </c>
      <c r="K87" s="626"/>
      <c r="L87" s="626" t="s">
        <v>249</v>
      </c>
      <c r="M87" s="626"/>
      <c r="N87" s="626"/>
      <c r="O87" s="626"/>
      <c r="P87" s="626"/>
      <c r="Q87" s="626" t="s">
        <v>9</v>
      </c>
      <c r="R87" s="626" t="s">
        <v>25</v>
      </c>
      <c r="S87" s="626"/>
      <c r="T87" s="626"/>
      <c r="U87" s="626"/>
      <c r="V87" s="628"/>
      <c r="W87" s="627"/>
    </row>
    <row r="88" spans="1:23" s="660" customFormat="1" ht="15.5" x14ac:dyDescent="0.35">
      <c r="A88" s="656" t="str">
        <f t="shared" ref="A88:A154" si="2">C88&amp;"_"&amp;D88&amp;"_"&amp;L88&amp;"_"&amp;O88&amp;"_"&amp;Q88&amp;"_"&amp;R88</f>
        <v>Scen2_1_walk___</v>
      </c>
      <c r="B88" s="656"/>
      <c r="C88" s="656" t="s">
        <v>385</v>
      </c>
      <c r="D88" s="656">
        <v>1</v>
      </c>
      <c r="E88" s="656" t="s">
        <v>255</v>
      </c>
      <c r="F88" s="656" t="s">
        <v>256</v>
      </c>
      <c r="G88" s="656"/>
      <c r="H88" s="656" t="str">
        <f>'MoT Travel Input'!$P$4</f>
        <v>Scenario A: staying close to the action</v>
      </c>
      <c r="I88" s="656"/>
      <c r="J88" s="656"/>
      <c r="K88" s="656"/>
      <c r="L88" s="656" t="s">
        <v>91</v>
      </c>
      <c r="M88" s="656"/>
      <c r="N88" s="656"/>
      <c r="O88" s="656"/>
      <c r="P88" s="656"/>
      <c r="Q88" s="656"/>
      <c r="R88" s="656"/>
      <c r="S88" s="656"/>
      <c r="T88" s="656"/>
      <c r="U88" s="657">
        <f>'MoT Travel Input'!J3</f>
        <v>8.3311284937509988</v>
      </c>
      <c r="V88" s="658"/>
      <c r="W88" s="659"/>
    </row>
    <row r="89" spans="1:23" s="660" customFormat="1" ht="15.5" x14ac:dyDescent="0.35">
      <c r="A89" s="656" t="str">
        <f t="shared" si="2"/>
        <v>Scen2_1_bike___</v>
      </c>
      <c r="B89" s="656"/>
      <c r="C89" s="656" t="s">
        <v>385</v>
      </c>
      <c r="D89" s="656">
        <v>1</v>
      </c>
      <c r="E89" s="656" t="s">
        <v>255</v>
      </c>
      <c r="F89" s="656" t="s">
        <v>256</v>
      </c>
      <c r="G89" s="656"/>
      <c r="H89" s="656" t="str">
        <f>'MoT Travel Input'!$P$4</f>
        <v>Scenario A: staying close to the action</v>
      </c>
      <c r="I89" s="656"/>
      <c r="J89" s="656"/>
      <c r="K89" s="656"/>
      <c r="L89" s="656" t="s">
        <v>248</v>
      </c>
      <c r="M89" s="656"/>
      <c r="N89" s="656"/>
      <c r="O89" s="656"/>
      <c r="P89" s="656"/>
      <c r="Q89" s="656"/>
      <c r="R89" s="656"/>
      <c r="S89" s="656"/>
      <c r="T89" s="656"/>
      <c r="U89" s="657">
        <f>'MoT Travel Input'!J4</f>
        <v>2.7128360645141645</v>
      </c>
      <c r="V89" s="658"/>
      <c r="W89" s="659"/>
    </row>
    <row r="90" spans="1:23" s="660" customFormat="1" ht="15.5" x14ac:dyDescent="0.35">
      <c r="A90" s="656" t="str">
        <f t="shared" si="2"/>
        <v>Scen2_1_rail___</v>
      </c>
      <c r="B90" s="656"/>
      <c r="C90" s="656" t="s">
        <v>385</v>
      </c>
      <c r="D90" s="656">
        <v>1</v>
      </c>
      <c r="E90" s="656" t="s">
        <v>255</v>
      </c>
      <c r="F90" s="656" t="s">
        <v>256</v>
      </c>
      <c r="G90" s="656"/>
      <c r="H90" s="656" t="str">
        <f>'MoT Travel Input'!$P$4</f>
        <v>Scenario A: staying close to the action</v>
      </c>
      <c r="I90" s="656"/>
      <c r="J90" s="656"/>
      <c r="K90" s="656"/>
      <c r="L90" s="656" t="s">
        <v>193</v>
      </c>
      <c r="M90" s="656"/>
      <c r="N90" s="656"/>
      <c r="O90" s="656"/>
      <c r="P90" s="656"/>
      <c r="Q90" s="656"/>
      <c r="R90" s="656"/>
      <c r="S90" s="656"/>
      <c r="T90" s="656"/>
      <c r="U90" s="657">
        <f>'MoT Travel Input'!J5</f>
        <v>1.9525759007267491</v>
      </c>
      <c r="V90" s="658"/>
      <c r="W90" s="659"/>
    </row>
    <row r="91" spans="1:23" s="660" customFormat="1" ht="15.5" x14ac:dyDescent="0.35">
      <c r="A91" s="656" t="str">
        <f t="shared" si="2"/>
        <v>Scen2_1_bus___</v>
      </c>
      <c r="B91" s="656"/>
      <c r="C91" s="656" t="s">
        <v>385</v>
      </c>
      <c r="D91" s="656">
        <v>1</v>
      </c>
      <c r="E91" s="656" t="s">
        <v>255</v>
      </c>
      <c r="F91" s="656" t="s">
        <v>256</v>
      </c>
      <c r="G91" s="656"/>
      <c r="H91" s="656" t="str">
        <f>'MoT Travel Input'!$P$4</f>
        <v>Scenario A: staying close to the action</v>
      </c>
      <c r="I91" s="656"/>
      <c r="J91" s="656"/>
      <c r="K91" s="656"/>
      <c r="L91" s="656" t="s">
        <v>93</v>
      </c>
      <c r="M91" s="656"/>
      <c r="N91" s="656"/>
      <c r="O91" s="656"/>
      <c r="P91" s="656"/>
      <c r="Q91" s="656"/>
      <c r="R91" s="656"/>
      <c r="S91" s="656"/>
      <c r="T91" s="656"/>
      <c r="U91" s="657">
        <f>'MoT Travel Input'!J6</f>
        <v>4.2049425556655056</v>
      </c>
      <c r="V91" s="658"/>
      <c r="W91" s="659"/>
    </row>
    <row r="92" spans="1:23" s="660" customFormat="1" ht="15.5" x14ac:dyDescent="0.35">
      <c r="A92" s="656" t="str">
        <f t="shared" si="2"/>
        <v>Scen2_1_other___</v>
      </c>
      <c r="B92" s="656"/>
      <c r="C92" s="656" t="s">
        <v>385</v>
      </c>
      <c r="D92" s="656">
        <v>1</v>
      </c>
      <c r="E92" s="656" t="s">
        <v>255</v>
      </c>
      <c r="F92" s="656" t="s">
        <v>256</v>
      </c>
      <c r="G92" s="656"/>
      <c r="H92" s="656" t="str">
        <f>'MoT Travel Input'!$P$4</f>
        <v>Scenario A: staying close to the action</v>
      </c>
      <c r="I92" s="656"/>
      <c r="J92" s="656"/>
      <c r="K92" s="656"/>
      <c r="L92" s="656" t="s">
        <v>194</v>
      </c>
      <c r="M92" s="656"/>
      <c r="N92" s="656"/>
      <c r="O92" s="656"/>
      <c r="P92" s="656"/>
      <c r="Q92" s="656"/>
      <c r="R92" s="656"/>
      <c r="S92" s="656"/>
      <c r="T92" s="656"/>
      <c r="U92" s="657">
        <f>'MoT Travel Input'!J7</f>
        <v>0.66137996031432289</v>
      </c>
      <c r="V92" s="658"/>
      <c r="W92" s="659"/>
    </row>
    <row r="93" spans="1:23" s="660" customFormat="1" ht="15.5" x14ac:dyDescent="0.35">
      <c r="A93" s="656" t="str">
        <f t="shared" si="2"/>
        <v>Scen2_1_auto (driver)___</v>
      </c>
      <c r="B93" s="656"/>
      <c r="C93" s="656" t="s">
        <v>385</v>
      </c>
      <c r="D93" s="656">
        <v>1</v>
      </c>
      <c r="E93" s="656" t="s">
        <v>255</v>
      </c>
      <c r="F93" s="656" t="s">
        <v>256</v>
      </c>
      <c r="G93" s="656"/>
      <c r="H93" s="656" t="str">
        <f>'MoT Travel Input'!$P$4</f>
        <v>Scenario A: staying close to the action</v>
      </c>
      <c r="I93" s="656"/>
      <c r="J93" s="656"/>
      <c r="K93" s="656"/>
      <c r="L93" s="656" t="s">
        <v>251</v>
      </c>
      <c r="M93" s="656"/>
      <c r="N93" s="656"/>
      <c r="O93" s="656"/>
      <c r="P93" s="656"/>
      <c r="Q93" s="656"/>
      <c r="R93" s="656"/>
      <c r="S93" s="656"/>
      <c r="T93" s="656"/>
      <c r="U93" s="657">
        <f>'MoT Travel Input'!J8</f>
        <v>24.3420779511953</v>
      </c>
      <c r="V93" s="658"/>
      <c r="W93" s="659"/>
    </row>
    <row r="94" spans="1:23" s="660" customFormat="1" ht="15.5" x14ac:dyDescent="0.35">
      <c r="A94" s="656" t="str">
        <f t="shared" si="2"/>
        <v>Scen2_1_auto (passenger)___</v>
      </c>
      <c r="B94" s="656"/>
      <c r="C94" s="656" t="s">
        <v>385</v>
      </c>
      <c r="D94" s="656">
        <v>1</v>
      </c>
      <c r="E94" s="656" t="s">
        <v>255</v>
      </c>
      <c r="F94" s="656" t="s">
        <v>256</v>
      </c>
      <c r="G94" s="656"/>
      <c r="H94" s="656" t="str">
        <f>'MoT Travel Input'!$P$4</f>
        <v>Scenario A: staying close to the action</v>
      </c>
      <c r="I94" s="656"/>
      <c r="J94" s="656"/>
      <c r="K94" s="656"/>
      <c r="L94" s="656" t="s">
        <v>252</v>
      </c>
      <c r="M94" s="656"/>
      <c r="N94" s="656"/>
      <c r="O94" s="656"/>
      <c r="P94" s="656"/>
      <c r="Q94" s="656"/>
      <c r="R94" s="656"/>
      <c r="S94" s="656"/>
      <c r="T94" s="656"/>
      <c r="U94" s="657">
        <f>'MoT Travel Input'!J9</f>
        <v>12.806548699342228</v>
      </c>
      <c r="V94" s="658"/>
      <c r="W94" s="659"/>
    </row>
    <row r="95" spans="1:23" s="660" customFormat="1" ht="15.5" x14ac:dyDescent="0.35">
      <c r="A95" s="656" t="str">
        <f t="shared" si="2"/>
        <v>Scen2_3_walk___</v>
      </c>
      <c r="B95" s="656"/>
      <c r="C95" s="656" t="s">
        <v>385</v>
      </c>
      <c r="D95" s="656">
        <v>3</v>
      </c>
      <c r="E95" s="656" t="s">
        <v>257</v>
      </c>
      <c r="F95" s="661" t="s">
        <v>368</v>
      </c>
      <c r="G95" s="656"/>
      <c r="H95" s="656" t="str">
        <f>'MoT Travel Input'!$P$4</f>
        <v>Scenario A: staying close to the action</v>
      </c>
      <c r="I95" s="656"/>
      <c r="J95" s="656"/>
      <c r="K95" s="656"/>
      <c r="L95" s="656" t="s">
        <v>91</v>
      </c>
      <c r="M95" s="656"/>
      <c r="N95" s="656"/>
      <c r="O95" s="656"/>
      <c r="P95" s="656"/>
      <c r="Q95" s="656"/>
      <c r="R95" s="656"/>
      <c r="S95" s="656"/>
      <c r="T95" s="656"/>
      <c r="U95" s="657">
        <f>'MoT Travel Input'!J10</f>
        <v>0.62080885175690137</v>
      </c>
      <c r="V95" s="658"/>
      <c r="W95" s="659"/>
    </row>
    <row r="96" spans="1:23" s="660" customFormat="1" ht="15.5" x14ac:dyDescent="0.35">
      <c r="A96" s="656" t="str">
        <f t="shared" si="2"/>
        <v>Scen2_3_bike___</v>
      </c>
      <c r="B96" s="656"/>
      <c r="C96" s="656" t="s">
        <v>385</v>
      </c>
      <c r="D96" s="661">
        <v>3</v>
      </c>
      <c r="E96" s="661" t="s">
        <v>257</v>
      </c>
      <c r="F96" s="661" t="s">
        <v>368</v>
      </c>
      <c r="G96" s="661"/>
      <c r="H96" s="656" t="str">
        <f>'MoT Travel Input'!$P$4</f>
        <v>Scenario A: staying close to the action</v>
      </c>
      <c r="I96" s="661"/>
      <c r="J96" s="661"/>
      <c r="K96" s="661"/>
      <c r="L96" s="661" t="s">
        <v>248</v>
      </c>
      <c r="M96" s="661"/>
      <c r="N96" s="656"/>
      <c r="O96" s="661"/>
      <c r="P96" s="661"/>
      <c r="Q96" s="661"/>
      <c r="R96" s="661"/>
      <c r="S96" s="661"/>
      <c r="T96" s="662"/>
      <c r="U96" s="657">
        <f>'MoT Travel Input'!J11</f>
        <v>0.63099294082884683</v>
      </c>
      <c r="V96" s="658"/>
      <c r="W96" s="659"/>
    </row>
    <row r="97" spans="1:23" s="660" customFormat="1" ht="15.5" x14ac:dyDescent="0.35">
      <c r="A97" s="656" t="str">
        <f t="shared" si="2"/>
        <v>Scen2_3_rail___</v>
      </c>
      <c r="B97" s="656"/>
      <c r="C97" s="656" t="s">
        <v>385</v>
      </c>
      <c r="D97" s="661">
        <v>3</v>
      </c>
      <c r="E97" s="661" t="s">
        <v>257</v>
      </c>
      <c r="F97" s="661" t="s">
        <v>368</v>
      </c>
      <c r="G97" s="661"/>
      <c r="H97" s="656" t="str">
        <f>'MoT Travel Input'!$P$4</f>
        <v>Scenario A: staying close to the action</v>
      </c>
      <c r="I97" s="661"/>
      <c r="J97" s="661"/>
      <c r="K97" s="661"/>
      <c r="L97" s="661" t="s">
        <v>193</v>
      </c>
      <c r="M97" s="661"/>
      <c r="N97" s="656"/>
      <c r="O97" s="661"/>
      <c r="P97" s="661"/>
      <c r="Q97" s="661"/>
      <c r="R97" s="661"/>
      <c r="S97" s="661"/>
      <c r="T97" s="662"/>
      <c r="U97" s="657">
        <f>'MoT Travel Input'!J12</f>
        <v>1.0788079264223256</v>
      </c>
      <c r="V97" s="658"/>
      <c r="W97" s="659"/>
    </row>
    <row r="98" spans="1:23" s="660" customFormat="1" ht="15.5" x14ac:dyDescent="0.35">
      <c r="A98" s="656" t="str">
        <f t="shared" si="2"/>
        <v>Scen2_3_bus___</v>
      </c>
      <c r="B98" s="656"/>
      <c r="C98" s="656" t="s">
        <v>385</v>
      </c>
      <c r="D98" s="661">
        <v>3</v>
      </c>
      <c r="E98" s="661" t="s">
        <v>257</v>
      </c>
      <c r="F98" s="661" t="s">
        <v>368</v>
      </c>
      <c r="G98" s="661"/>
      <c r="H98" s="656" t="str">
        <f>'MoT Travel Input'!$P$4</f>
        <v>Scenario A: staying close to the action</v>
      </c>
      <c r="I98" s="661"/>
      <c r="J98" s="661"/>
      <c r="K98" s="661"/>
      <c r="L98" s="661" t="s">
        <v>93</v>
      </c>
      <c r="M98" s="661"/>
      <c r="N98" s="656"/>
      <c r="O98" s="661"/>
      <c r="P98" s="661"/>
      <c r="Q98" s="661"/>
      <c r="R98" s="661"/>
      <c r="S98" s="661"/>
      <c r="T98" s="662"/>
      <c r="U98" s="657">
        <f>'MoT Travel Input'!J13</f>
        <v>1.9893481971946225</v>
      </c>
      <c r="V98" s="658"/>
      <c r="W98" s="659"/>
    </row>
    <row r="99" spans="1:23" s="660" customFormat="1" ht="15.5" x14ac:dyDescent="0.35">
      <c r="A99" s="656" t="str">
        <f t="shared" si="2"/>
        <v>Scen2_3_other___</v>
      </c>
      <c r="B99" s="656"/>
      <c r="C99" s="656" t="s">
        <v>385</v>
      </c>
      <c r="D99" s="661">
        <v>3</v>
      </c>
      <c r="E99" s="661" t="s">
        <v>257</v>
      </c>
      <c r="F99" s="661" t="s">
        <v>368</v>
      </c>
      <c r="G99" s="661"/>
      <c r="H99" s="656" t="str">
        <f>'MoT Travel Input'!$P$4</f>
        <v>Scenario A: staying close to the action</v>
      </c>
      <c r="I99" s="661"/>
      <c r="J99" s="661"/>
      <c r="K99" s="661"/>
      <c r="L99" s="661" t="s">
        <v>194</v>
      </c>
      <c r="M99" s="661"/>
      <c r="N99" s="656"/>
      <c r="O99" s="661"/>
      <c r="P99" s="661"/>
      <c r="Q99" s="661"/>
      <c r="R99" s="661"/>
      <c r="S99" s="661"/>
      <c r="T99" s="662"/>
      <c r="U99" s="657">
        <f>'MoT Travel Input'!J14</f>
        <v>0.21122903742874416</v>
      </c>
      <c r="V99" s="658"/>
      <c r="W99" s="659"/>
    </row>
    <row r="100" spans="1:23" s="660" customFormat="1" ht="15.5" x14ac:dyDescent="0.35">
      <c r="A100" s="656" t="str">
        <f t="shared" si="2"/>
        <v>Scen2_3_auto (driver)___</v>
      </c>
      <c r="B100" s="656"/>
      <c r="C100" s="656" t="s">
        <v>385</v>
      </c>
      <c r="D100" s="661">
        <v>3</v>
      </c>
      <c r="E100" s="661" t="s">
        <v>257</v>
      </c>
      <c r="F100" s="661" t="s">
        <v>368</v>
      </c>
      <c r="G100" s="661"/>
      <c r="H100" s="656" t="str">
        <f>'MoT Travel Input'!$P$4</f>
        <v>Scenario A: staying close to the action</v>
      </c>
      <c r="I100" s="661"/>
      <c r="J100" s="661"/>
      <c r="K100" s="661"/>
      <c r="L100" s="661" t="s">
        <v>251</v>
      </c>
      <c r="M100" s="661"/>
      <c r="N100" s="656"/>
      <c r="O100" s="661"/>
      <c r="P100" s="661"/>
      <c r="Q100" s="661"/>
      <c r="R100" s="661"/>
      <c r="S100" s="661"/>
      <c r="U100" s="657">
        <f>'MoT Travel Input'!J15</f>
        <v>15.79184627730476</v>
      </c>
      <c r="V100" s="658"/>
      <c r="W100" s="659"/>
    </row>
    <row r="101" spans="1:23" s="660" customFormat="1" ht="15.5" x14ac:dyDescent="0.35">
      <c r="A101" s="656" t="str">
        <f t="shared" si="2"/>
        <v>Scen2_3_auto (passenger)___</v>
      </c>
      <c r="B101" s="656"/>
      <c r="C101" s="656" t="s">
        <v>385</v>
      </c>
      <c r="D101" s="661">
        <v>3</v>
      </c>
      <c r="E101" s="661" t="s">
        <v>257</v>
      </c>
      <c r="F101" s="661" t="s">
        <v>368</v>
      </c>
      <c r="G101" s="661"/>
      <c r="H101" s="656" t="str">
        <f>'MoT Travel Input'!$P$4</f>
        <v>Scenario A: staying close to the action</v>
      </c>
      <c r="I101" s="661"/>
      <c r="J101" s="661"/>
      <c r="K101" s="661"/>
      <c r="L101" s="661" t="s">
        <v>252</v>
      </c>
      <c r="M101" s="661"/>
      <c r="N101" s="656"/>
      <c r="O101" s="661"/>
      <c r="P101" s="661"/>
      <c r="Q101" s="661"/>
      <c r="R101" s="661"/>
      <c r="S101" s="661"/>
      <c r="T101" s="662"/>
      <c r="U101" s="657">
        <f>'MoT Travel Input'!J16</f>
        <v>9.1002167141563728</v>
      </c>
      <c r="V101" s="658"/>
      <c r="W101" s="659"/>
    </row>
    <row r="102" spans="1:23" s="660" customFormat="1" ht="15.5" x14ac:dyDescent="0.35">
      <c r="A102" s="656" t="str">
        <f t="shared" si="2"/>
        <v>Scen2_18____</v>
      </c>
      <c r="B102" s="656"/>
      <c r="C102" s="656" t="s">
        <v>385</v>
      </c>
      <c r="D102" s="661">
        <v>18</v>
      </c>
      <c r="E102" s="661" t="s">
        <v>259</v>
      </c>
      <c r="F102" s="661" t="s">
        <v>260</v>
      </c>
      <c r="G102" s="661"/>
      <c r="H102" s="656" t="str">
        <f>'MoT Travel Input'!$P$4</f>
        <v>Scenario A: staying close to the action</v>
      </c>
      <c r="I102" s="661"/>
      <c r="J102" s="661"/>
      <c r="K102" s="661"/>
      <c r="L102" s="661"/>
      <c r="M102" s="661"/>
      <c r="N102" s="661"/>
      <c r="O102" s="661"/>
      <c r="P102" s="661"/>
      <c r="Q102" s="661"/>
      <c r="R102" s="661"/>
      <c r="S102" s="661"/>
      <c r="T102" s="661"/>
      <c r="U102" s="747">
        <f>'MoT Travel Input'!J21</f>
        <v>5922500</v>
      </c>
      <c r="V102" s="658"/>
      <c r="W102" s="659"/>
    </row>
    <row r="103" spans="1:23" s="660" customFormat="1" ht="15.5" x14ac:dyDescent="0.35">
      <c r="A103" s="656" t="str">
        <f t="shared" si="2"/>
        <v>Scen2_10.1_Auto (Driver)___</v>
      </c>
      <c r="B103" s="656"/>
      <c r="C103" s="656" t="s">
        <v>385</v>
      </c>
      <c r="D103" s="661">
        <v>10.1</v>
      </c>
      <c r="E103" s="661" t="s">
        <v>369</v>
      </c>
      <c r="F103" s="661" t="s">
        <v>368</v>
      </c>
      <c r="G103" s="661"/>
      <c r="H103" s="656" t="str">
        <f>'MoT Travel Input'!$P$4</f>
        <v>Scenario A: staying close to the action</v>
      </c>
      <c r="I103" s="661"/>
      <c r="J103" s="661"/>
      <c r="K103" s="661"/>
      <c r="L103" s="661" t="s">
        <v>234</v>
      </c>
      <c r="M103" s="661"/>
      <c r="N103" s="661"/>
      <c r="O103" s="661"/>
      <c r="P103" s="661"/>
      <c r="Q103" s="661"/>
      <c r="R103" s="661"/>
      <c r="S103" s="663"/>
      <c r="T103" s="661"/>
      <c r="U103" s="664">
        <f>'MoT Travel Input'!J17</f>
        <v>93527209.577337444</v>
      </c>
      <c r="V103" s="658"/>
      <c r="W103" s="659"/>
    </row>
    <row r="104" spans="1:23" s="660" customFormat="1" ht="15.5" x14ac:dyDescent="0.35">
      <c r="A104" s="656" t="str">
        <f t="shared" si="2"/>
        <v>Scen2_10.1_Auto (Passenger)___</v>
      </c>
      <c r="B104" s="656"/>
      <c r="C104" s="656" t="s">
        <v>385</v>
      </c>
      <c r="D104" s="661">
        <v>10.1</v>
      </c>
      <c r="E104" s="661" t="s">
        <v>369</v>
      </c>
      <c r="F104" s="661" t="s">
        <v>368</v>
      </c>
      <c r="G104" s="661"/>
      <c r="H104" s="656" t="str">
        <f>'MoT Travel Input'!$P$4</f>
        <v>Scenario A: staying close to the action</v>
      </c>
      <c r="I104" s="661"/>
      <c r="J104" s="661"/>
      <c r="K104" s="661"/>
      <c r="L104" s="661" t="s">
        <v>235</v>
      </c>
      <c r="M104" s="661"/>
      <c r="N104" s="661"/>
      <c r="O104" s="661"/>
      <c r="P104" s="661"/>
      <c r="Q104" s="661"/>
      <c r="R104" s="661"/>
      <c r="S104" s="663"/>
      <c r="U104" s="664">
        <f>'MoT Travel Input'!J18</f>
        <v>53896033.489591114</v>
      </c>
      <c r="V104" s="658"/>
      <c r="W104" s="659"/>
    </row>
    <row r="105" spans="1:23" s="660" customFormat="1" ht="15.5" x14ac:dyDescent="0.35">
      <c r="A105" s="656" t="str">
        <f t="shared" si="2"/>
        <v>Scen2_10.2_Auto (Driver)___</v>
      </c>
      <c r="B105" s="656"/>
      <c r="C105" s="656" t="s">
        <v>385</v>
      </c>
      <c r="D105" s="661">
        <v>10.199999999999999</v>
      </c>
      <c r="E105" s="661" t="s">
        <v>272</v>
      </c>
      <c r="F105" s="661" t="s">
        <v>273</v>
      </c>
      <c r="G105" s="661"/>
      <c r="H105" s="656" t="str">
        <f>'MoT Travel Input'!$P$4</f>
        <v>Scenario A: staying close to the action</v>
      </c>
      <c r="I105" s="661"/>
      <c r="J105" s="661"/>
      <c r="K105" s="661"/>
      <c r="L105" s="661" t="s">
        <v>234</v>
      </c>
      <c r="M105" s="661"/>
      <c r="N105" s="661"/>
      <c r="O105" s="661"/>
      <c r="P105" s="661"/>
      <c r="Q105" s="661"/>
      <c r="R105" s="661"/>
      <c r="S105" s="663"/>
      <c r="T105" s="661"/>
      <c r="U105" s="664">
        <f>'MoT Travel Input'!J19</f>
        <v>2402765.9444325692</v>
      </c>
      <c r="V105" s="658"/>
      <c r="W105" s="659"/>
    </row>
    <row r="106" spans="1:23" s="660" customFormat="1" ht="15.5" x14ac:dyDescent="0.35">
      <c r="A106" s="656" t="str">
        <f t="shared" si="2"/>
        <v>Scen2_10.2_Auto (Passenger)___</v>
      </c>
      <c r="B106" s="656"/>
      <c r="C106" s="656" t="s">
        <v>385</v>
      </c>
      <c r="D106" s="656">
        <v>10.199999999999999</v>
      </c>
      <c r="E106" s="656" t="s">
        <v>272</v>
      </c>
      <c r="F106" s="656" t="s">
        <v>273</v>
      </c>
      <c r="G106" s="656"/>
      <c r="H106" s="656" t="str">
        <f>'MoT Travel Input'!$P$4</f>
        <v>Scenario A: staying close to the action</v>
      </c>
      <c r="I106" s="656"/>
      <c r="J106" s="656"/>
      <c r="K106" s="656"/>
      <c r="L106" s="656" t="s">
        <v>235</v>
      </c>
      <c r="M106" s="656"/>
      <c r="N106" s="656"/>
      <c r="O106" s="656"/>
      <c r="P106" s="656"/>
      <c r="Q106" s="656"/>
      <c r="R106" s="656"/>
      <c r="S106" s="656"/>
      <c r="T106" s="656"/>
      <c r="U106" s="664">
        <f>'MoT Travel Input'!J20</f>
        <v>1264113.077864239</v>
      </c>
      <c r="V106" s="658"/>
      <c r="W106" s="659"/>
    </row>
    <row r="107" spans="1:23" s="656" customFormat="1" ht="15.5" x14ac:dyDescent="0.35">
      <c r="A107" s="656" t="str">
        <f t="shared" si="2"/>
        <v>Scen2_5___0-4_f</v>
      </c>
      <c r="B107" s="660"/>
      <c r="C107" s="656" t="s">
        <v>385</v>
      </c>
      <c r="D107" s="660">
        <v>5</v>
      </c>
      <c r="E107" s="660" t="s">
        <v>223</v>
      </c>
      <c r="F107" s="659" t="s">
        <v>101</v>
      </c>
      <c r="G107" s="660"/>
      <c r="H107" s="656" t="str">
        <f>'MoT Travel Input'!$P$4</f>
        <v>Scenario A: staying close to the action</v>
      </c>
      <c r="K107" s="660"/>
      <c r="L107" s="660"/>
      <c r="M107" s="660"/>
      <c r="N107" s="660"/>
      <c r="O107" s="660"/>
      <c r="P107" s="660"/>
      <c r="Q107" s="659" t="s">
        <v>2</v>
      </c>
      <c r="R107" s="660" t="s">
        <v>26</v>
      </c>
      <c r="S107" s="660"/>
      <c r="T107" s="660"/>
      <c r="U107" s="660">
        <f>'[4]NZ.Stat export'!W6</f>
        <v>2.6084754347459056E-2</v>
      </c>
      <c r="V107" s="665"/>
      <c r="W107" s="659"/>
    </row>
    <row r="108" spans="1:23" s="656" customFormat="1" ht="15.5" x14ac:dyDescent="0.35">
      <c r="A108" s="656" t="str">
        <f t="shared" si="2"/>
        <v>Scen2_5___5-14_f</v>
      </c>
      <c r="B108" s="660"/>
      <c r="C108" s="656" t="s">
        <v>385</v>
      </c>
      <c r="D108" s="660">
        <v>5</v>
      </c>
      <c r="E108" s="660" t="s">
        <v>223</v>
      </c>
      <c r="F108" s="659" t="s">
        <v>101</v>
      </c>
      <c r="G108" s="660"/>
      <c r="H108" s="656" t="str">
        <f>'MoT Travel Input'!$P$4</f>
        <v>Scenario A: staying close to the action</v>
      </c>
      <c r="K108" s="660"/>
      <c r="L108" s="660"/>
      <c r="M108" s="660"/>
      <c r="N108" s="660"/>
      <c r="O108" s="660"/>
      <c r="P108" s="660"/>
      <c r="Q108" s="666" t="s">
        <v>3</v>
      </c>
      <c r="R108" s="660" t="s">
        <v>26</v>
      </c>
      <c r="S108" s="660"/>
      <c r="T108" s="660"/>
      <c r="U108" s="660">
        <f>'[4]NZ.Stat export'!W7</f>
        <v>5.3435758905959821E-2</v>
      </c>
      <c r="V108" s="665"/>
      <c r="W108" s="659"/>
    </row>
    <row r="109" spans="1:23" s="656" customFormat="1" ht="15.5" x14ac:dyDescent="0.35">
      <c r="A109" s="656" t="str">
        <f t="shared" si="2"/>
        <v>Scen2_5___15-29_f</v>
      </c>
      <c r="B109" s="660"/>
      <c r="C109" s="656" t="s">
        <v>385</v>
      </c>
      <c r="D109" s="660">
        <v>5</v>
      </c>
      <c r="E109" s="660" t="s">
        <v>223</v>
      </c>
      <c r="F109" s="659" t="s">
        <v>101</v>
      </c>
      <c r="G109" s="660"/>
      <c r="H109" s="656" t="str">
        <f>'MoT Travel Input'!$P$4</f>
        <v>Scenario A: staying close to the action</v>
      </c>
      <c r="K109" s="660"/>
      <c r="L109" s="660"/>
      <c r="M109" s="660"/>
      <c r="N109" s="660"/>
      <c r="O109" s="660"/>
      <c r="P109" s="660"/>
      <c r="Q109" s="660" t="s">
        <v>4</v>
      </c>
      <c r="R109" s="660" t="s">
        <v>26</v>
      </c>
      <c r="S109" s="660"/>
      <c r="T109" s="660"/>
      <c r="U109" s="660">
        <f>'[4]NZ.Stat export'!W8</f>
        <v>8.5041364173560702E-2</v>
      </c>
      <c r="V109" s="665"/>
      <c r="W109" s="659"/>
    </row>
    <row r="110" spans="1:23" s="656" customFormat="1" ht="15.5" x14ac:dyDescent="0.35">
      <c r="A110" s="656" t="str">
        <f t="shared" si="2"/>
        <v>Scen2_5___30-44_f</v>
      </c>
      <c r="B110" s="660"/>
      <c r="C110" s="656" t="s">
        <v>385</v>
      </c>
      <c r="D110" s="660">
        <v>5</v>
      </c>
      <c r="E110" s="660" t="s">
        <v>223</v>
      </c>
      <c r="F110" s="659" t="s">
        <v>101</v>
      </c>
      <c r="G110" s="660"/>
      <c r="H110" s="656" t="str">
        <f>'MoT Travel Input'!$P$4</f>
        <v>Scenario A: staying close to the action</v>
      </c>
      <c r="K110" s="660"/>
      <c r="L110" s="660"/>
      <c r="M110" s="660"/>
      <c r="N110" s="660"/>
      <c r="O110" s="660"/>
      <c r="P110" s="660"/>
      <c r="Q110" s="660" t="s">
        <v>5</v>
      </c>
      <c r="R110" s="660" t="s">
        <v>26</v>
      </c>
      <c r="S110" s="660"/>
      <c r="T110" s="660"/>
      <c r="U110" s="660">
        <f>'[4]NZ.Stat export'!W9</f>
        <v>8.9211548201924701E-2</v>
      </c>
      <c r="V110" s="665"/>
      <c r="W110" s="659"/>
    </row>
    <row r="111" spans="1:23" s="656" customFormat="1" ht="15.5" x14ac:dyDescent="0.35">
      <c r="A111" s="656" t="str">
        <f t="shared" si="2"/>
        <v>Scen2_5___45-59_f</v>
      </c>
      <c r="B111" s="660"/>
      <c r="C111" s="656" t="s">
        <v>385</v>
      </c>
      <c r="D111" s="660">
        <v>5</v>
      </c>
      <c r="E111" s="660" t="s">
        <v>223</v>
      </c>
      <c r="F111" s="659" t="s">
        <v>101</v>
      </c>
      <c r="G111" s="660"/>
      <c r="H111" s="656" t="str">
        <f>'MoT Travel Input'!$P$4</f>
        <v>Scenario A: staying close to the action</v>
      </c>
      <c r="K111" s="660"/>
      <c r="L111" s="660"/>
      <c r="M111" s="660"/>
      <c r="N111" s="660"/>
      <c r="O111" s="660"/>
      <c r="P111" s="660"/>
      <c r="Q111" s="660" t="s">
        <v>6</v>
      </c>
      <c r="R111" s="660" t="s">
        <v>26</v>
      </c>
      <c r="S111" s="660"/>
      <c r="T111" s="660"/>
      <c r="U111" s="660">
        <f>'[4]NZ.Stat export'!W10</f>
        <v>9.5694749282458219E-2</v>
      </c>
      <c r="V111" s="665"/>
      <c r="W111" s="659"/>
    </row>
    <row r="112" spans="1:23" s="656" customFormat="1" ht="15.5" x14ac:dyDescent="0.35">
      <c r="A112" s="656" t="str">
        <f t="shared" si="2"/>
        <v>Scen2_5___60-69_f</v>
      </c>
      <c r="B112" s="660"/>
      <c r="C112" s="656" t="s">
        <v>385</v>
      </c>
      <c r="D112" s="660">
        <v>5</v>
      </c>
      <c r="E112" s="660" t="s">
        <v>223</v>
      </c>
      <c r="F112" s="659" t="s">
        <v>101</v>
      </c>
      <c r="G112" s="660"/>
      <c r="H112" s="656" t="str">
        <f>'MoT Travel Input'!$P$4</f>
        <v>Scenario A: staying close to the action</v>
      </c>
      <c r="K112" s="660"/>
      <c r="L112" s="660"/>
      <c r="M112" s="660"/>
      <c r="N112" s="660"/>
      <c r="O112" s="660"/>
      <c r="P112" s="660"/>
      <c r="Q112" s="660" t="s">
        <v>7</v>
      </c>
      <c r="R112" s="660" t="s">
        <v>26</v>
      </c>
      <c r="S112" s="660"/>
      <c r="T112" s="660"/>
      <c r="U112" s="660">
        <f>'[4]NZ.Stat export'!W11</f>
        <v>5.0920141820023634E-2</v>
      </c>
      <c r="V112" s="665"/>
      <c r="W112" s="659"/>
    </row>
    <row r="113" spans="1:23" s="656" customFormat="1" ht="15.5" x14ac:dyDescent="0.35">
      <c r="A113" s="656" t="str">
        <f t="shared" si="2"/>
        <v>Scen2_5___70-79_f</v>
      </c>
      <c r="B113" s="660"/>
      <c r="C113" s="656" t="s">
        <v>385</v>
      </c>
      <c r="D113" s="660">
        <v>5</v>
      </c>
      <c r="E113" s="660" t="s">
        <v>223</v>
      </c>
      <c r="F113" s="659" t="s">
        <v>101</v>
      </c>
      <c r="G113" s="660"/>
      <c r="H113" s="656" t="str">
        <f>'MoT Travel Input'!$P$4</f>
        <v>Scenario A: staying close to the action</v>
      </c>
      <c r="K113" s="660"/>
      <c r="L113" s="660"/>
      <c r="M113" s="660"/>
      <c r="N113" s="660"/>
      <c r="O113" s="660"/>
      <c r="P113" s="660"/>
      <c r="Q113" s="660" t="s">
        <v>8</v>
      </c>
      <c r="R113" s="660" t="s">
        <v>26</v>
      </c>
      <c r="S113" s="660"/>
      <c r="T113" s="660"/>
      <c r="U113" s="660">
        <f>'[4]NZ.Stat export'!W12</f>
        <v>5.2051325341887555E-2</v>
      </c>
      <c r="V113" s="665"/>
      <c r="W113" s="659"/>
    </row>
    <row r="114" spans="1:23" s="656" customFormat="1" ht="15.5" x14ac:dyDescent="0.35">
      <c r="A114" s="656" t="str">
        <f t="shared" si="2"/>
        <v>Scen2_5___80+_f</v>
      </c>
      <c r="B114" s="660"/>
      <c r="C114" s="656" t="s">
        <v>385</v>
      </c>
      <c r="D114" s="660">
        <v>5</v>
      </c>
      <c r="E114" s="660" t="s">
        <v>223</v>
      </c>
      <c r="F114" s="659" t="s">
        <v>101</v>
      </c>
      <c r="G114" s="660"/>
      <c r="H114" s="656" t="str">
        <f>'MoT Travel Input'!$P$4</f>
        <v>Scenario A: staying close to the action</v>
      </c>
      <c r="K114" s="660"/>
      <c r="L114" s="660"/>
      <c r="M114" s="660"/>
      <c r="N114" s="660"/>
      <c r="O114" s="660"/>
      <c r="P114" s="660"/>
      <c r="Q114" s="660" t="s">
        <v>9</v>
      </c>
      <c r="R114" s="660" t="s">
        <v>26</v>
      </c>
      <c r="S114" s="660"/>
      <c r="T114" s="660"/>
      <c r="U114" s="660">
        <f>'[4]NZ.Stat export'!W13</f>
        <v>4.8269458044909674E-2</v>
      </c>
      <c r="V114" s="665"/>
      <c r="W114" s="659"/>
    </row>
    <row r="115" spans="1:23" s="656" customFormat="1" ht="15.5" x14ac:dyDescent="0.35">
      <c r="A115" s="656" t="str">
        <f t="shared" si="2"/>
        <v>Scen2_5___0-4_m</v>
      </c>
      <c r="B115" s="660"/>
      <c r="C115" s="656" t="s">
        <v>385</v>
      </c>
      <c r="D115" s="660">
        <v>5</v>
      </c>
      <c r="E115" s="660" t="s">
        <v>223</v>
      </c>
      <c r="F115" s="659" t="s">
        <v>101</v>
      </c>
      <c r="G115" s="660"/>
      <c r="H115" s="656" t="str">
        <f>'MoT Travel Input'!$P$4</f>
        <v>Scenario A: staying close to the action</v>
      </c>
      <c r="K115" s="660"/>
      <c r="L115" s="660"/>
      <c r="M115" s="660"/>
      <c r="N115" s="660"/>
      <c r="O115" s="660"/>
      <c r="P115" s="660"/>
      <c r="Q115" s="659" t="s">
        <v>2</v>
      </c>
      <c r="R115" s="660" t="s">
        <v>25</v>
      </c>
      <c r="S115" s="660"/>
      <c r="T115" s="660"/>
      <c r="U115" s="660">
        <f>'[4]NZ.Stat export'!W14</f>
        <v>2.7519837919972985E-2</v>
      </c>
      <c r="V115" s="665"/>
      <c r="W115" s="659"/>
    </row>
    <row r="116" spans="1:23" s="656" customFormat="1" ht="15.5" x14ac:dyDescent="0.35">
      <c r="A116" s="656" t="str">
        <f t="shared" si="2"/>
        <v>Scen2_5___5-14_m</v>
      </c>
      <c r="B116" s="660"/>
      <c r="C116" s="656" t="s">
        <v>385</v>
      </c>
      <c r="D116" s="660">
        <v>5</v>
      </c>
      <c r="E116" s="660" t="s">
        <v>223</v>
      </c>
      <c r="F116" s="659" t="s">
        <v>101</v>
      </c>
      <c r="G116" s="660"/>
      <c r="H116" s="656" t="str">
        <f>'MoT Travel Input'!$P$4</f>
        <v>Scenario A: staying close to the action</v>
      </c>
      <c r="K116" s="660"/>
      <c r="L116" s="660"/>
      <c r="M116" s="660"/>
      <c r="N116" s="660"/>
      <c r="O116" s="660"/>
      <c r="P116" s="660"/>
      <c r="Q116" s="666" t="s">
        <v>3</v>
      </c>
      <c r="R116" s="660" t="s">
        <v>25</v>
      </c>
      <c r="S116" s="660"/>
      <c r="T116" s="660"/>
      <c r="U116" s="660">
        <f>'[4]NZ.Stat export'!W15</f>
        <v>5.6542292757048793E-2</v>
      </c>
      <c r="V116" s="665"/>
      <c r="W116" s="659"/>
    </row>
    <row r="117" spans="1:23" s="656" customFormat="1" ht="15.5" x14ac:dyDescent="0.35">
      <c r="A117" s="656" t="str">
        <f t="shared" si="2"/>
        <v>Scen2_5___15-29_m</v>
      </c>
      <c r="B117" s="660"/>
      <c r="C117" s="656" t="s">
        <v>385</v>
      </c>
      <c r="D117" s="660">
        <v>5</v>
      </c>
      <c r="E117" s="660" t="s">
        <v>223</v>
      </c>
      <c r="F117" s="659" t="s">
        <v>101</v>
      </c>
      <c r="G117" s="660"/>
      <c r="H117" s="656" t="str">
        <f>'MoT Travel Input'!$P$4</f>
        <v>Scenario A: staying close to the action</v>
      </c>
      <c r="K117" s="660"/>
      <c r="L117" s="660"/>
      <c r="M117" s="660"/>
      <c r="N117" s="660"/>
      <c r="O117" s="660"/>
      <c r="P117" s="660"/>
      <c r="Q117" s="660" t="s">
        <v>4</v>
      </c>
      <c r="R117" s="660" t="s">
        <v>25</v>
      </c>
      <c r="S117" s="660"/>
      <c r="T117" s="660"/>
      <c r="U117" s="660">
        <f>'[4]NZ.Stat export'!W16</f>
        <v>9.243626540604423E-2</v>
      </c>
      <c r="V117" s="665"/>
      <c r="W117" s="659"/>
    </row>
    <row r="118" spans="1:23" s="656" customFormat="1" ht="15.5" x14ac:dyDescent="0.35">
      <c r="A118" s="656" t="str">
        <f t="shared" si="2"/>
        <v>Scen2_5___30-44_m</v>
      </c>
      <c r="B118" s="660"/>
      <c r="C118" s="656" t="s">
        <v>385</v>
      </c>
      <c r="D118" s="660">
        <v>5</v>
      </c>
      <c r="E118" s="660" t="s">
        <v>223</v>
      </c>
      <c r="F118" s="659" t="s">
        <v>101</v>
      </c>
      <c r="G118" s="660"/>
      <c r="H118" s="656" t="str">
        <f>'MoT Travel Input'!$P$4</f>
        <v>Scenario A: staying close to the action</v>
      </c>
      <c r="K118" s="660"/>
      <c r="L118" s="660"/>
      <c r="M118" s="660"/>
      <c r="N118" s="660"/>
      <c r="O118" s="660"/>
      <c r="P118" s="660"/>
      <c r="Q118" s="660" t="s">
        <v>5</v>
      </c>
      <c r="R118" s="660" t="s">
        <v>25</v>
      </c>
      <c r="S118" s="660"/>
      <c r="T118" s="660"/>
      <c r="U118" s="660">
        <f>'[4]NZ.Stat export'!W17</f>
        <v>9.5036299172716526E-2</v>
      </c>
      <c r="V118" s="665"/>
      <c r="W118" s="659"/>
    </row>
    <row r="119" spans="1:23" s="656" customFormat="1" ht="15.5" x14ac:dyDescent="0.35">
      <c r="A119" s="656" t="str">
        <f t="shared" si="2"/>
        <v>Scen2_5___45-59_m</v>
      </c>
      <c r="B119" s="660"/>
      <c r="C119" s="656" t="s">
        <v>385</v>
      </c>
      <c r="D119" s="660">
        <v>5</v>
      </c>
      <c r="E119" s="660" t="s">
        <v>223</v>
      </c>
      <c r="F119" s="659" t="s">
        <v>101</v>
      </c>
      <c r="G119" s="660"/>
      <c r="H119" s="656" t="str">
        <f>'MoT Travel Input'!$P$4</f>
        <v>Scenario A: staying close to the action</v>
      </c>
      <c r="K119" s="660"/>
      <c r="L119" s="660"/>
      <c r="M119" s="660"/>
      <c r="N119" s="660"/>
      <c r="O119" s="660"/>
      <c r="P119" s="660"/>
      <c r="Q119" s="660" t="s">
        <v>6</v>
      </c>
      <c r="R119" s="660" t="s">
        <v>25</v>
      </c>
      <c r="S119" s="660"/>
      <c r="T119" s="660"/>
      <c r="U119" s="660">
        <f>'[4]NZ.Stat export'!W18</f>
        <v>9.777139962856661E-2</v>
      </c>
      <c r="V119" s="665"/>
      <c r="W119" s="659"/>
    </row>
    <row r="120" spans="1:23" s="656" customFormat="1" ht="15.5" x14ac:dyDescent="0.35">
      <c r="A120" s="656" t="str">
        <f t="shared" si="2"/>
        <v>Scen2_5___60-69_m</v>
      </c>
      <c r="B120" s="660"/>
      <c r="C120" s="656" t="s">
        <v>385</v>
      </c>
      <c r="D120" s="660">
        <v>5</v>
      </c>
      <c r="E120" s="660" t="s">
        <v>223</v>
      </c>
      <c r="F120" s="659" t="s">
        <v>101</v>
      </c>
      <c r="G120" s="660"/>
      <c r="H120" s="656" t="str">
        <f>'MoT Travel Input'!$P$4</f>
        <v>Scenario A: staying close to the action</v>
      </c>
      <c r="K120" s="660"/>
      <c r="L120" s="660"/>
      <c r="M120" s="660"/>
      <c r="N120" s="660"/>
      <c r="O120" s="660"/>
      <c r="P120" s="660"/>
      <c r="Q120" s="660" t="s">
        <v>7</v>
      </c>
      <c r="R120" s="660" t="s">
        <v>25</v>
      </c>
      <c r="S120" s="660"/>
      <c r="T120" s="660"/>
      <c r="U120" s="660">
        <f>'[4]NZ.Stat export'!W19</f>
        <v>4.6749957791659635E-2</v>
      </c>
      <c r="V120" s="665"/>
      <c r="W120" s="659"/>
    </row>
    <row r="121" spans="1:23" s="656" customFormat="1" ht="15.5" x14ac:dyDescent="0.35">
      <c r="A121" s="656" t="str">
        <f t="shared" si="2"/>
        <v>Scen2_5___70-79_m</v>
      </c>
      <c r="B121" s="660"/>
      <c r="C121" s="656" t="s">
        <v>385</v>
      </c>
      <c r="D121" s="660">
        <v>5</v>
      </c>
      <c r="E121" s="660" t="s">
        <v>223</v>
      </c>
      <c r="F121" s="659" t="s">
        <v>101</v>
      </c>
      <c r="G121" s="660"/>
      <c r="H121" s="656" t="str">
        <f>'MoT Travel Input'!$P$4</f>
        <v>Scenario A: staying close to the action</v>
      </c>
      <c r="K121" s="660"/>
      <c r="L121" s="660"/>
      <c r="M121" s="660"/>
      <c r="N121" s="660"/>
      <c r="O121" s="660"/>
      <c r="P121" s="660"/>
      <c r="Q121" s="660" t="s">
        <v>8</v>
      </c>
      <c r="R121" s="660" t="s">
        <v>25</v>
      </c>
      <c r="S121" s="660"/>
      <c r="T121" s="660"/>
      <c r="U121" s="660">
        <f>'[4]NZ.Stat export'!W20</f>
        <v>4.6074624345770726E-2</v>
      </c>
      <c r="V121" s="665"/>
      <c r="W121" s="659"/>
    </row>
    <row r="122" spans="1:23" s="656" customFormat="1" ht="15.5" x14ac:dyDescent="0.35">
      <c r="A122" s="656" t="str">
        <f t="shared" si="2"/>
        <v>Scen2_5___80+_m</v>
      </c>
      <c r="B122" s="660"/>
      <c r="C122" s="656" t="s">
        <v>385</v>
      </c>
      <c r="D122" s="660">
        <v>5</v>
      </c>
      <c r="E122" s="660" t="s">
        <v>223</v>
      </c>
      <c r="F122" s="659" t="s">
        <v>101</v>
      </c>
      <c r="G122" s="660"/>
      <c r="H122" s="656" t="str">
        <f>'MoT Travel Input'!$P$4</f>
        <v>Scenario A: staying close to the action</v>
      </c>
      <c r="K122" s="660"/>
      <c r="L122" s="660"/>
      <c r="M122" s="660"/>
      <c r="N122" s="660"/>
      <c r="O122" s="660"/>
      <c r="P122" s="660"/>
      <c r="Q122" s="660" t="s">
        <v>9</v>
      </c>
      <c r="R122" s="660" t="s">
        <v>25</v>
      </c>
      <c r="S122" s="660"/>
      <c r="T122" s="660"/>
      <c r="U122" s="660">
        <f>'[4]NZ.Stat export'!W21</f>
        <v>3.7160222860037145E-2</v>
      </c>
      <c r="V122" s="665"/>
      <c r="W122" s="659"/>
    </row>
    <row r="123" spans="1:23" s="656" customFormat="1" ht="15.5" x14ac:dyDescent="0.35">
      <c r="A123" s="656" t="str">
        <f t="shared" si="2"/>
        <v>Scen2_2_Bike__00-04_f</v>
      </c>
      <c r="B123" s="660"/>
      <c r="C123" s="656" t="s">
        <v>385</v>
      </c>
      <c r="D123" s="660">
        <v>2</v>
      </c>
      <c r="E123" s="660" t="s">
        <v>118</v>
      </c>
      <c r="F123" s="659" t="s">
        <v>379</v>
      </c>
      <c r="G123" s="660"/>
      <c r="H123" s="656" t="str">
        <f>'MoT Travel Input'!$P$4</f>
        <v>Scenario A: staying close to the action</v>
      </c>
      <c r="K123" s="660"/>
      <c r="L123" s="660" t="s">
        <v>250</v>
      </c>
      <c r="M123" s="660"/>
      <c r="N123" s="660"/>
      <c r="O123" s="660"/>
      <c r="P123" s="660"/>
      <c r="Q123" s="660" t="s">
        <v>196</v>
      </c>
      <c r="R123" s="660" t="s">
        <v>26</v>
      </c>
      <c r="S123" s="660"/>
      <c r="T123" s="660"/>
      <c r="U123" s="660"/>
      <c r="V123" s="665"/>
      <c r="W123" s="659"/>
    </row>
    <row r="124" spans="1:23" s="656" customFormat="1" ht="15.5" x14ac:dyDescent="0.35">
      <c r="A124" s="656" t="str">
        <f t="shared" si="2"/>
        <v>Scen2_2_Bike__05-14_f</v>
      </c>
      <c r="B124" s="660"/>
      <c r="C124" s="656" t="s">
        <v>385</v>
      </c>
      <c r="D124" s="660">
        <v>2</v>
      </c>
      <c r="E124" s="660" t="s">
        <v>118</v>
      </c>
      <c r="F124" s="659" t="s">
        <v>379</v>
      </c>
      <c r="G124" s="660"/>
      <c r="H124" s="656" t="str">
        <f>'MoT Travel Input'!$P$4</f>
        <v>Scenario A: staying close to the action</v>
      </c>
      <c r="K124" s="660"/>
      <c r="L124" s="660" t="s">
        <v>250</v>
      </c>
      <c r="M124" s="660"/>
      <c r="N124" s="660"/>
      <c r="O124" s="660"/>
      <c r="P124" s="660"/>
      <c r="Q124" s="660" t="s">
        <v>191</v>
      </c>
      <c r="R124" s="660" t="s">
        <v>26</v>
      </c>
      <c r="S124" s="660"/>
      <c r="T124" s="660"/>
      <c r="U124" s="660"/>
      <c r="V124" s="665"/>
      <c r="W124" s="659"/>
    </row>
    <row r="125" spans="1:23" s="656" customFormat="1" ht="15.5" x14ac:dyDescent="0.35">
      <c r="A125" s="656" t="str">
        <f t="shared" si="2"/>
        <v>Scen2_2_Bike__15-29_f</v>
      </c>
      <c r="B125" s="660"/>
      <c r="C125" s="656" t="s">
        <v>385</v>
      </c>
      <c r="D125" s="660">
        <v>2</v>
      </c>
      <c r="E125" s="660" t="s">
        <v>118</v>
      </c>
      <c r="F125" s="659" t="s">
        <v>379</v>
      </c>
      <c r="G125" s="660"/>
      <c r="H125" s="656" t="str">
        <f>'MoT Travel Input'!$P$4</f>
        <v>Scenario A: staying close to the action</v>
      </c>
      <c r="K125" s="660"/>
      <c r="L125" s="660" t="s">
        <v>250</v>
      </c>
      <c r="M125" s="660"/>
      <c r="N125" s="660"/>
      <c r="O125" s="660"/>
      <c r="P125" s="660"/>
      <c r="Q125" s="660" t="s">
        <v>4</v>
      </c>
      <c r="R125" s="660" t="s">
        <v>26</v>
      </c>
      <c r="S125" s="660"/>
      <c r="T125" s="660"/>
      <c r="U125" s="660"/>
      <c r="V125" s="665"/>
      <c r="W125" s="659"/>
    </row>
    <row r="126" spans="1:23" s="656" customFormat="1" ht="15.5" x14ac:dyDescent="0.35">
      <c r="A126" s="656" t="str">
        <f t="shared" si="2"/>
        <v>Scen2_2_Bike__30-44_f</v>
      </c>
      <c r="B126" s="660"/>
      <c r="C126" s="656" t="s">
        <v>385</v>
      </c>
      <c r="D126" s="660">
        <v>2</v>
      </c>
      <c r="E126" s="660" t="s">
        <v>118</v>
      </c>
      <c r="F126" s="659" t="s">
        <v>379</v>
      </c>
      <c r="G126" s="660"/>
      <c r="H126" s="656" t="str">
        <f>'MoT Travel Input'!$P$4</f>
        <v>Scenario A: staying close to the action</v>
      </c>
      <c r="K126" s="660"/>
      <c r="L126" s="660" t="s">
        <v>250</v>
      </c>
      <c r="M126" s="660"/>
      <c r="N126" s="660"/>
      <c r="O126" s="660"/>
      <c r="P126" s="660"/>
      <c r="Q126" s="660" t="s">
        <v>5</v>
      </c>
      <c r="R126" s="660" t="s">
        <v>26</v>
      </c>
      <c r="S126" s="660"/>
      <c r="T126" s="660"/>
      <c r="U126" s="660"/>
      <c r="V126" s="665"/>
      <c r="W126" s="659"/>
    </row>
    <row r="127" spans="1:23" s="656" customFormat="1" ht="15.5" x14ac:dyDescent="0.35">
      <c r="A127" s="656" t="str">
        <f t="shared" si="2"/>
        <v>Scen2_2_Bike__45-59_f</v>
      </c>
      <c r="B127" s="660"/>
      <c r="C127" s="656" t="s">
        <v>385</v>
      </c>
      <c r="D127" s="660">
        <v>2</v>
      </c>
      <c r="E127" s="660" t="s">
        <v>118</v>
      </c>
      <c r="F127" s="659" t="s">
        <v>379</v>
      </c>
      <c r="G127" s="660"/>
      <c r="H127" s="656" t="str">
        <f>'MoT Travel Input'!$P$4</f>
        <v>Scenario A: staying close to the action</v>
      </c>
      <c r="K127" s="660"/>
      <c r="L127" s="660" t="s">
        <v>250</v>
      </c>
      <c r="M127" s="660"/>
      <c r="N127" s="660"/>
      <c r="O127" s="660"/>
      <c r="P127" s="660"/>
      <c r="Q127" s="660" t="s">
        <v>6</v>
      </c>
      <c r="R127" s="660" t="s">
        <v>26</v>
      </c>
      <c r="S127" s="660"/>
      <c r="T127" s="660"/>
      <c r="U127" s="660"/>
      <c r="V127" s="665"/>
      <c r="W127" s="659"/>
    </row>
    <row r="128" spans="1:23" s="656" customFormat="1" ht="15.5" x14ac:dyDescent="0.35">
      <c r="A128" s="656" t="str">
        <f t="shared" si="2"/>
        <v>Scen2_2_Bike__60-69_f</v>
      </c>
      <c r="B128" s="660"/>
      <c r="C128" s="656" t="s">
        <v>385</v>
      </c>
      <c r="D128" s="660">
        <v>2</v>
      </c>
      <c r="E128" s="660" t="s">
        <v>118</v>
      </c>
      <c r="F128" s="659" t="s">
        <v>379</v>
      </c>
      <c r="G128" s="660"/>
      <c r="H128" s="656" t="str">
        <f>'MoT Travel Input'!$P$4</f>
        <v>Scenario A: staying close to the action</v>
      </c>
      <c r="K128" s="660"/>
      <c r="L128" s="660" t="s">
        <v>250</v>
      </c>
      <c r="M128" s="660"/>
      <c r="N128" s="660"/>
      <c r="O128" s="660"/>
      <c r="P128" s="660"/>
      <c r="Q128" s="660" t="s">
        <v>7</v>
      </c>
      <c r="R128" s="660" t="s">
        <v>26</v>
      </c>
      <c r="S128" s="660"/>
      <c r="T128" s="660"/>
      <c r="U128" s="660"/>
      <c r="V128" s="665"/>
      <c r="W128" s="659"/>
    </row>
    <row r="129" spans="1:23" s="656" customFormat="1" ht="15.5" x14ac:dyDescent="0.35">
      <c r="A129" s="656" t="str">
        <f t="shared" si="2"/>
        <v>Scen2_2_Bike__70-79_f</v>
      </c>
      <c r="B129" s="660"/>
      <c r="C129" s="656" t="s">
        <v>385</v>
      </c>
      <c r="D129" s="660">
        <v>2</v>
      </c>
      <c r="E129" s="660" t="s">
        <v>118</v>
      </c>
      <c r="F129" s="659" t="s">
        <v>379</v>
      </c>
      <c r="G129" s="660"/>
      <c r="H129" s="656" t="str">
        <f>'MoT Travel Input'!$P$4</f>
        <v>Scenario A: staying close to the action</v>
      </c>
      <c r="K129" s="660"/>
      <c r="L129" s="660" t="s">
        <v>250</v>
      </c>
      <c r="M129" s="660"/>
      <c r="N129" s="660"/>
      <c r="O129" s="660"/>
      <c r="P129" s="660"/>
      <c r="Q129" s="660" t="s">
        <v>8</v>
      </c>
      <c r="R129" s="660" t="s">
        <v>26</v>
      </c>
      <c r="S129" s="660"/>
      <c r="T129" s="660"/>
      <c r="U129" s="660"/>
      <c r="V129" s="665"/>
      <c r="W129" s="659"/>
    </row>
    <row r="130" spans="1:23" s="656" customFormat="1" ht="15.5" x14ac:dyDescent="0.35">
      <c r="A130" s="656" t="str">
        <f t="shared" si="2"/>
        <v>Scen2_2_Bike__80+_f</v>
      </c>
      <c r="B130" s="660"/>
      <c r="C130" s="656" t="s">
        <v>385</v>
      </c>
      <c r="D130" s="660">
        <v>2</v>
      </c>
      <c r="E130" s="660" t="s">
        <v>118</v>
      </c>
      <c r="F130" s="659" t="s">
        <v>379</v>
      </c>
      <c r="G130" s="660"/>
      <c r="H130" s="656" t="str">
        <f>'MoT Travel Input'!$P$4</f>
        <v>Scenario A: staying close to the action</v>
      </c>
      <c r="K130" s="660"/>
      <c r="L130" s="660" t="s">
        <v>250</v>
      </c>
      <c r="M130" s="660"/>
      <c r="N130" s="660"/>
      <c r="O130" s="660"/>
      <c r="P130" s="660"/>
      <c r="Q130" s="660" t="s">
        <v>9</v>
      </c>
      <c r="R130" s="660" t="s">
        <v>26</v>
      </c>
      <c r="S130" s="660"/>
      <c r="T130" s="660"/>
      <c r="U130" s="660"/>
      <c r="V130" s="665"/>
      <c r="W130" s="659"/>
    </row>
    <row r="131" spans="1:23" s="656" customFormat="1" ht="15.5" x14ac:dyDescent="0.35">
      <c r="A131" s="656" t="str">
        <f t="shared" si="2"/>
        <v>Scen2_2_Bike__00-04_m</v>
      </c>
      <c r="B131" s="660"/>
      <c r="C131" s="656" t="s">
        <v>385</v>
      </c>
      <c r="D131" s="660">
        <v>2</v>
      </c>
      <c r="E131" s="660" t="s">
        <v>118</v>
      </c>
      <c r="F131" s="659" t="s">
        <v>379</v>
      </c>
      <c r="G131" s="660"/>
      <c r="H131" s="656" t="str">
        <f>'MoT Travel Input'!$P$4</f>
        <v>Scenario A: staying close to the action</v>
      </c>
      <c r="K131" s="660"/>
      <c r="L131" s="660" t="s">
        <v>250</v>
      </c>
      <c r="M131" s="660"/>
      <c r="N131" s="660"/>
      <c r="O131" s="660"/>
      <c r="P131" s="660"/>
      <c r="Q131" s="660" t="s">
        <v>196</v>
      </c>
      <c r="R131" s="660" t="s">
        <v>25</v>
      </c>
      <c r="S131" s="660"/>
      <c r="T131" s="660"/>
      <c r="U131" s="660"/>
      <c r="V131" s="665"/>
      <c r="W131" s="659"/>
    </row>
    <row r="132" spans="1:23" s="656" customFormat="1" ht="15.5" x14ac:dyDescent="0.35">
      <c r="A132" s="656" t="str">
        <f t="shared" si="2"/>
        <v>Scen2_2_Bike__05-14_m</v>
      </c>
      <c r="B132" s="660"/>
      <c r="C132" s="656" t="s">
        <v>385</v>
      </c>
      <c r="D132" s="660">
        <v>2</v>
      </c>
      <c r="E132" s="660" t="s">
        <v>118</v>
      </c>
      <c r="F132" s="659" t="s">
        <v>379</v>
      </c>
      <c r="G132" s="660"/>
      <c r="H132" s="656" t="str">
        <f>'MoT Travel Input'!$P$4</f>
        <v>Scenario A: staying close to the action</v>
      </c>
      <c r="K132" s="660"/>
      <c r="L132" s="660" t="s">
        <v>250</v>
      </c>
      <c r="M132" s="660"/>
      <c r="N132" s="660"/>
      <c r="O132" s="660"/>
      <c r="P132" s="660"/>
      <c r="Q132" s="660" t="s">
        <v>191</v>
      </c>
      <c r="R132" s="660" t="s">
        <v>25</v>
      </c>
      <c r="S132" s="660"/>
      <c r="T132" s="660"/>
      <c r="U132" s="660"/>
      <c r="V132" s="665"/>
      <c r="W132" s="659"/>
    </row>
    <row r="133" spans="1:23" s="656" customFormat="1" ht="15.5" x14ac:dyDescent="0.35">
      <c r="A133" s="656" t="str">
        <f t="shared" si="2"/>
        <v>Scen2_2_Bike__15-29_m</v>
      </c>
      <c r="B133" s="660"/>
      <c r="C133" s="656" t="s">
        <v>385</v>
      </c>
      <c r="D133" s="660">
        <v>2</v>
      </c>
      <c r="E133" s="660" t="s">
        <v>118</v>
      </c>
      <c r="F133" s="659" t="s">
        <v>379</v>
      </c>
      <c r="G133" s="660"/>
      <c r="H133" s="656" t="str">
        <f>'MoT Travel Input'!$P$4</f>
        <v>Scenario A: staying close to the action</v>
      </c>
      <c r="K133" s="660"/>
      <c r="L133" s="660" t="s">
        <v>250</v>
      </c>
      <c r="M133" s="660"/>
      <c r="N133" s="660"/>
      <c r="O133" s="660"/>
      <c r="P133" s="660"/>
      <c r="Q133" s="660" t="s">
        <v>4</v>
      </c>
      <c r="R133" s="660" t="s">
        <v>25</v>
      </c>
      <c r="S133" s="660"/>
      <c r="T133" s="660"/>
      <c r="U133" s="660"/>
      <c r="V133" s="665"/>
      <c r="W133" s="659"/>
    </row>
    <row r="134" spans="1:23" s="656" customFormat="1" ht="15.5" x14ac:dyDescent="0.35">
      <c r="A134" s="656" t="str">
        <f t="shared" si="2"/>
        <v>Scen2_2_Bike__30-44_m</v>
      </c>
      <c r="B134" s="660"/>
      <c r="C134" s="656" t="s">
        <v>385</v>
      </c>
      <c r="D134" s="660">
        <v>2</v>
      </c>
      <c r="E134" s="660" t="s">
        <v>118</v>
      </c>
      <c r="F134" s="659" t="s">
        <v>379</v>
      </c>
      <c r="G134" s="660"/>
      <c r="H134" s="656" t="str">
        <f>'MoT Travel Input'!$P$4</f>
        <v>Scenario A: staying close to the action</v>
      </c>
      <c r="K134" s="660"/>
      <c r="L134" s="660" t="s">
        <v>250</v>
      </c>
      <c r="M134" s="660"/>
      <c r="N134" s="660"/>
      <c r="O134" s="660"/>
      <c r="P134" s="660"/>
      <c r="Q134" s="660" t="s">
        <v>5</v>
      </c>
      <c r="R134" s="660" t="s">
        <v>25</v>
      </c>
      <c r="S134" s="660"/>
      <c r="T134" s="660"/>
      <c r="U134" s="660"/>
      <c r="V134" s="665"/>
      <c r="W134" s="659"/>
    </row>
    <row r="135" spans="1:23" s="656" customFormat="1" ht="15.5" x14ac:dyDescent="0.35">
      <c r="A135" s="656" t="str">
        <f t="shared" si="2"/>
        <v>Scen2_2_Bike__45-59_m</v>
      </c>
      <c r="B135" s="660"/>
      <c r="C135" s="656" t="s">
        <v>385</v>
      </c>
      <c r="D135" s="660">
        <v>2</v>
      </c>
      <c r="E135" s="660" t="s">
        <v>118</v>
      </c>
      <c r="F135" s="659" t="s">
        <v>379</v>
      </c>
      <c r="G135" s="660"/>
      <c r="H135" s="656" t="str">
        <f>'MoT Travel Input'!$P$4</f>
        <v>Scenario A: staying close to the action</v>
      </c>
      <c r="K135" s="660"/>
      <c r="L135" s="660" t="s">
        <v>250</v>
      </c>
      <c r="M135" s="660"/>
      <c r="N135" s="660"/>
      <c r="O135" s="660"/>
      <c r="P135" s="660"/>
      <c r="Q135" s="660" t="s">
        <v>6</v>
      </c>
      <c r="R135" s="660" t="s">
        <v>25</v>
      </c>
      <c r="S135" s="660"/>
      <c r="T135" s="660"/>
      <c r="U135" s="660"/>
      <c r="V135" s="665"/>
      <c r="W135" s="659"/>
    </row>
    <row r="136" spans="1:23" s="656" customFormat="1" ht="15.5" x14ac:dyDescent="0.35">
      <c r="A136" s="656" t="str">
        <f t="shared" si="2"/>
        <v>Scen2_2_Bike__60-69_m</v>
      </c>
      <c r="B136" s="660"/>
      <c r="C136" s="656" t="s">
        <v>385</v>
      </c>
      <c r="D136" s="660">
        <v>2</v>
      </c>
      <c r="E136" s="660" t="s">
        <v>118</v>
      </c>
      <c r="F136" s="659" t="s">
        <v>379</v>
      </c>
      <c r="G136" s="660"/>
      <c r="H136" s="656" t="str">
        <f>'MoT Travel Input'!$P$4</f>
        <v>Scenario A: staying close to the action</v>
      </c>
      <c r="K136" s="660"/>
      <c r="L136" s="660" t="s">
        <v>250</v>
      </c>
      <c r="M136" s="660"/>
      <c r="N136" s="660"/>
      <c r="O136" s="660"/>
      <c r="P136" s="660"/>
      <c r="Q136" s="660" t="s">
        <v>7</v>
      </c>
      <c r="R136" s="660" t="s">
        <v>25</v>
      </c>
      <c r="S136" s="660"/>
      <c r="T136" s="660"/>
      <c r="U136" s="660"/>
      <c r="V136" s="665"/>
      <c r="W136" s="659"/>
    </row>
    <row r="137" spans="1:23" s="656" customFormat="1" ht="15.5" x14ac:dyDescent="0.35">
      <c r="A137" s="656" t="str">
        <f t="shared" si="2"/>
        <v>Scen2_2_Bike__70-79_m</v>
      </c>
      <c r="B137" s="660"/>
      <c r="C137" s="656" t="s">
        <v>385</v>
      </c>
      <c r="D137" s="660">
        <v>2</v>
      </c>
      <c r="E137" s="660" t="s">
        <v>118</v>
      </c>
      <c r="F137" s="659" t="s">
        <v>379</v>
      </c>
      <c r="G137" s="660"/>
      <c r="H137" s="656" t="str">
        <f>'MoT Travel Input'!$P$4</f>
        <v>Scenario A: staying close to the action</v>
      </c>
      <c r="K137" s="660"/>
      <c r="L137" s="660" t="s">
        <v>250</v>
      </c>
      <c r="M137" s="660"/>
      <c r="N137" s="660"/>
      <c r="O137" s="660"/>
      <c r="P137" s="660"/>
      <c r="Q137" s="660" t="s">
        <v>8</v>
      </c>
      <c r="R137" s="660" t="s">
        <v>25</v>
      </c>
      <c r="S137" s="660"/>
      <c r="T137" s="660"/>
      <c r="U137" s="660"/>
      <c r="V137" s="665"/>
      <c r="W137" s="659"/>
    </row>
    <row r="138" spans="1:23" s="656" customFormat="1" ht="15.5" x14ac:dyDescent="0.35">
      <c r="A138" s="656" t="str">
        <f t="shared" si="2"/>
        <v>Scen2_2_Bike__80+_m</v>
      </c>
      <c r="B138" s="660"/>
      <c r="C138" s="656" t="s">
        <v>385</v>
      </c>
      <c r="D138" s="660">
        <v>2</v>
      </c>
      <c r="E138" s="660" t="s">
        <v>118</v>
      </c>
      <c r="F138" s="659" t="s">
        <v>379</v>
      </c>
      <c r="G138" s="660"/>
      <c r="H138" s="656" t="str">
        <f>'MoT Travel Input'!$P$4</f>
        <v>Scenario A: staying close to the action</v>
      </c>
      <c r="K138" s="660"/>
      <c r="L138" s="660" t="s">
        <v>250</v>
      </c>
      <c r="M138" s="660"/>
      <c r="N138" s="660"/>
      <c r="O138" s="660"/>
      <c r="P138" s="660"/>
      <c r="Q138" s="660" t="s">
        <v>9</v>
      </c>
      <c r="R138" s="660" t="s">
        <v>25</v>
      </c>
      <c r="S138" s="660"/>
      <c r="T138" s="660"/>
      <c r="U138" s="660"/>
      <c r="V138" s="665"/>
      <c r="W138" s="659"/>
    </row>
    <row r="139" spans="1:23" s="656" customFormat="1" ht="15.5" x14ac:dyDescent="0.35">
      <c r="A139" s="656" t="str">
        <f t="shared" si="2"/>
        <v>Scen2_2_Walk__00-04_f</v>
      </c>
      <c r="B139" s="660"/>
      <c r="C139" s="656" t="s">
        <v>385</v>
      </c>
      <c r="D139" s="660">
        <v>2</v>
      </c>
      <c r="E139" s="660" t="s">
        <v>118</v>
      </c>
      <c r="F139" s="659" t="s">
        <v>379</v>
      </c>
      <c r="G139" s="660"/>
      <c r="H139" s="656" t="str">
        <f>'MoT Travel Input'!$P$4</f>
        <v>Scenario A: staying close to the action</v>
      </c>
      <c r="K139" s="660"/>
      <c r="L139" s="660" t="s">
        <v>249</v>
      </c>
      <c r="M139" s="660"/>
      <c r="N139" s="660"/>
      <c r="O139" s="660"/>
      <c r="P139" s="660"/>
      <c r="Q139" s="660" t="s">
        <v>196</v>
      </c>
      <c r="R139" s="660" t="s">
        <v>26</v>
      </c>
      <c r="S139" s="660"/>
      <c r="T139" s="660"/>
      <c r="U139" s="660"/>
      <c r="V139" s="665"/>
      <c r="W139" s="659"/>
    </row>
    <row r="140" spans="1:23" s="656" customFormat="1" ht="15.5" x14ac:dyDescent="0.35">
      <c r="A140" s="656" t="str">
        <f t="shared" si="2"/>
        <v>Scen2_2_Walk__05-14_f</v>
      </c>
      <c r="B140" s="660"/>
      <c r="C140" s="656" t="s">
        <v>385</v>
      </c>
      <c r="D140" s="660">
        <v>2</v>
      </c>
      <c r="E140" s="660" t="s">
        <v>118</v>
      </c>
      <c r="F140" s="659" t="s">
        <v>379</v>
      </c>
      <c r="G140" s="660"/>
      <c r="H140" s="656" t="str">
        <f>'MoT Travel Input'!$P$4</f>
        <v>Scenario A: staying close to the action</v>
      </c>
      <c r="K140" s="660"/>
      <c r="L140" s="660" t="s">
        <v>249</v>
      </c>
      <c r="M140" s="660"/>
      <c r="N140" s="660"/>
      <c r="O140" s="660"/>
      <c r="P140" s="660"/>
      <c r="Q140" s="660" t="s">
        <v>191</v>
      </c>
      <c r="R140" s="660" t="s">
        <v>26</v>
      </c>
      <c r="S140" s="660"/>
      <c r="T140" s="660"/>
      <c r="U140" s="660"/>
      <c r="V140" s="665"/>
      <c r="W140" s="659"/>
    </row>
    <row r="141" spans="1:23" s="656" customFormat="1" ht="15.5" x14ac:dyDescent="0.35">
      <c r="A141" s="656" t="str">
        <f t="shared" si="2"/>
        <v>Scen2_2_Walk__15-29_f</v>
      </c>
      <c r="B141" s="660"/>
      <c r="C141" s="656" t="s">
        <v>385</v>
      </c>
      <c r="D141" s="660">
        <v>2</v>
      </c>
      <c r="E141" s="660" t="s">
        <v>118</v>
      </c>
      <c r="F141" s="659" t="s">
        <v>379</v>
      </c>
      <c r="G141" s="660"/>
      <c r="H141" s="656" t="str">
        <f>'MoT Travel Input'!$P$4</f>
        <v>Scenario A: staying close to the action</v>
      </c>
      <c r="K141" s="660"/>
      <c r="L141" s="660" t="s">
        <v>249</v>
      </c>
      <c r="M141" s="660"/>
      <c r="N141" s="660"/>
      <c r="O141" s="660"/>
      <c r="P141" s="660"/>
      <c r="Q141" s="660" t="s">
        <v>4</v>
      </c>
      <c r="R141" s="660" t="s">
        <v>26</v>
      </c>
      <c r="S141" s="660"/>
      <c r="T141" s="660"/>
      <c r="U141" s="660"/>
      <c r="V141" s="665"/>
      <c r="W141" s="659"/>
    </row>
    <row r="142" spans="1:23" s="656" customFormat="1" ht="15.5" x14ac:dyDescent="0.35">
      <c r="A142" s="656" t="str">
        <f t="shared" si="2"/>
        <v>Scen2_2_Walk__30-44_f</v>
      </c>
      <c r="B142" s="660"/>
      <c r="C142" s="656" t="s">
        <v>385</v>
      </c>
      <c r="D142" s="660">
        <v>2</v>
      </c>
      <c r="E142" s="660" t="s">
        <v>118</v>
      </c>
      <c r="F142" s="659" t="s">
        <v>379</v>
      </c>
      <c r="G142" s="660"/>
      <c r="H142" s="656" t="str">
        <f>'MoT Travel Input'!$P$4</f>
        <v>Scenario A: staying close to the action</v>
      </c>
      <c r="K142" s="660"/>
      <c r="L142" s="660" t="s">
        <v>249</v>
      </c>
      <c r="M142" s="660"/>
      <c r="N142" s="660"/>
      <c r="O142" s="660"/>
      <c r="P142" s="660"/>
      <c r="Q142" s="660" t="s">
        <v>5</v>
      </c>
      <c r="R142" s="660" t="s">
        <v>26</v>
      </c>
      <c r="S142" s="660"/>
      <c r="T142" s="660"/>
      <c r="U142" s="660"/>
      <c r="V142" s="665"/>
      <c r="W142" s="659"/>
    </row>
    <row r="143" spans="1:23" s="656" customFormat="1" ht="15.5" x14ac:dyDescent="0.35">
      <c r="A143" s="656" t="str">
        <f t="shared" si="2"/>
        <v>Scen2_2_Walk__45-59_f</v>
      </c>
      <c r="B143" s="660"/>
      <c r="C143" s="656" t="s">
        <v>385</v>
      </c>
      <c r="D143" s="660">
        <v>2</v>
      </c>
      <c r="E143" s="660" t="s">
        <v>118</v>
      </c>
      <c r="F143" s="659" t="s">
        <v>379</v>
      </c>
      <c r="G143" s="660"/>
      <c r="H143" s="656" t="str">
        <f>'MoT Travel Input'!$P$4</f>
        <v>Scenario A: staying close to the action</v>
      </c>
      <c r="K143" s="660"/>
      <c r="L143" s="660" t="s">
        <v>249</v>
      </c>
      <c r="M143" s="660"/>
      <c r="N143" s="660"/>
      <c r="O143" s="660"/>
      <c r="P143" s="660"/>
      <c r="Q143" s="660" t="s">
        <v>6</v>
      </c>
      <c r="R143" s="660" t="s">
        <v>26</v>
      </c>
      <c r="S143" s="660"/>
      <c r="T143" s="660"/>
      <c r="U143" s="660"/>
      <c r="V143" s="665"/>
      <c r="W143" s="659"/>
    </row>
    <row r="144" spans="1:23" s="656" customFormat="1" ht="15.5" x14ac:dyDescent="0.35">
      <c r="A144" s="656" t="str">
        <f t="shared" si="2"/>
        <v>Scen2_2_Walk__60-69_f</v>
      </c>
      <c r="B144" s="660"/>
      <c r="C144" s="656" t="s">
        <v>385</v>
      </c>
      <c r="D144" s="660">
        <v>2</v>
      </c>
      <c r="E144" s="660" t="s">
        <v>118</v>
      </c>
      <c r="F144" s="659" t="s">
        <v>379</v>
      </c>
      <c r="G144" s="660"/>
      <c r="H144" s="656" t="str">
        <f>'MoT Travel Input'!$P$4</f>
        <v>Scenario A: staying close to the action</v>
      </c>
      <c r="K144" s="660"/>
      <c r="L144" s="660" t="s">
        <v>249</v>
      </c>
      <c r="M144" s="660"/>
      <c r="N144" s="660"/>
      <c r="O144" s="660"/>
      <c r="P144" s="660"/>
      <c r="Q144" s="660" t="s">
        <v>7</v>
      </c>
      <c r="R144" s="660" t="s">
        <v>26</v>
      </c>
      <c r="S144" s="660"/>
      <c r="T144" s="660"/>
      <c r="U144" s="660"/>
      <c r="V144" s="665"/>
      <c r="W144" s="659"/>
    </row>
    <row r="145" spans="1:23" s="656" customFormat="1" ht="15.5" x14ac:dyDescent="0.35">
      <c r="A145" s="656" t="str">
        <f t="shared" si="2"/>
        <v>Scen2_2_Walk__70-79_f</v>
      </c>
      <c r="B145" s="660"/>
      <c r="C145" s="656" t="s">
        <v>385</v>
      </c>
      <c r="D145" s="660">
        <v>2</v>
      </c>
      <c r="E145" s="660" t="s">
        <v>118</v>
      </c>
      <c r="F145" s="659" t="s">
        <v>379</v>
      </c>
      <c r="G145" s="660"/>
      <c r="H145" s="656" t="str">
        <f>'MoT Travel Input'!$P$4</f>
        <v>Scenario A: staying close to the action</v>
      </c>
      <c r="K145" s="660"/>
      <c r="L145" s="660" t="s">
        <v>249</v>
      </c>
      <c r="M145" s="660"/>
      <c r="N145" s="660"/>
      <c r="O145" s="660"/>
      <c r="P145" s="660"/>
      <c r="Q145" s="660" t="s">
        <v>8</v>
      </c>
      <c r="R145" s="660" t="s">
        <v>26</v>
      </c>
      <c r="S145" s="660"/>
      <c r="T145" s="660"/>
      <c r="U145" s="660"/>
      <c r="V145" s="665"/>
      <c r="W145" s="659"/>
    </row>
    <row r="146" spans="1:23" s="656" customFormat="1" ht="15.5" x14ac:dyDescent="0.35">
      <c r="A146" s="656" t="str">
        <f t="shared" si="2"/>
        <v>Scen2_2_Walk__80+_f</v>
      </c>
      <c r="B146" s="660"/>
      <c r="C146" s="656" t="s">
        <v>385</v>
      </c>
      <c r="D146" s="660">
        <v>2</v>
      </c>
      <c r="E146" s="660" t="s">
        <v>118</v>
      </c>
      <c r="F146" s="659" t="s">
        <v>379</v>
      </c>
      <c r="G146" s="660"/>
      <c r="H146" s="656" t="str">
        <f>'MoT Travel Input'!$P$4</f>
        <v>Scenario A: staying close to the action</v>
      </c>
      <c r="K146" s="660"/>
      <c r="L146" s="660" t="s">
        <v>249</v>
      </c>
      <c r="M146" s="660"/>
      <c r="N146" s="660"/>
      <c r="O146" s="660"/>
      <c r="P146" s="660"/>
      <c r="Q146" s="660" t="s">
        <v>9</v>
      </c>
      <c r="R146" s="660" t="s">
        <v>26</v>
      </c>
      <c r="S146" s="660"/>
      <c r="T146" s="660"/>
      <c r="U146" s="660"/>
      <c r="V146" s="665"/>
      <c r="W146" s="659"/>
    </row>
    <row r="147" spans="1:23" s="656" customFormat="1" ht="15.5" x14ac:dyDescent="0.35">
      <c r="A147" s="656" t="str">
        <f t="shared" si="2"/>
        <v>Scen2_2_Walk__00-04_m</v>
      </c>
      <c r="B147" s="660"/>
      <c r="C147" s="656" t="s">
        <v>385</v>
      </c>
      <c r="D147" s="660">
        <v>2</v>
      </c>
      <c r="E147" s="660" t="s">
        <v>118</v>
      </c>
      <c r="F147" s="659" t="s">
        <v>379</v>
      </c>
      <c r="G147" s="660"/>
      <c r="H147" s="656" t="str">
        <f>'MoT Travel Input'!$P$4</f>
        <v>Scenario A: staying close to the action</v>
      </c>
      <c r="K147" s="660"/>
      <c r="L147" s="660" t="s">
        <v>249</v>
      </c>
      <c r="M147" s="660"/>
      <c r="N147" s="660"/>
      <c r="O147" s="660"/>
      <c r="P147" s="660"/>
      <c r="Q147" s="660" t="s">
        <v>196</v>
      </c>
      <c r="R147" s="660" t="s">
        <v>25</v>
      </c>
      <c r="S147" s="660"/>
      <c r="T147" s="660"/>
      <c r="U147" s="660"/>
      <c r="V147" s="665"/>
      <c r="W147" s="659"/>
    </row>
    <row r="148" spans="1:23" s="656" customFormat="1" ht="15.5" x14ac:dyDescent="0.35">
      <c r="A148" s="656" t="str">
        <f t="shared" si="2"/>
        <v>Scen2_2_Walk__05-14_m</v>
      </c>
      <c r="B148" s="660"/>
      <c r="C148" s="656" t="s">
        <v>385</v>
      </c>
      <c r="D148" s="660">
        <v>2</v>
      </c>
      <c r="E148" s="660" t="s">
        <v>118</v>
      </c>
      <c r="F148" s="659" t="s">
        <v>379</v>
      </c>
      <c r="G148" s="660"/>
      <c r="H148" s="656" t="str">
        <f>'MoT Travel Input'!$P$4</f>
        <v>Scenario A: staying close to the action</v>
      </c>
      <c r="K148" s="660"/>
      <c r="L148" s="660" t="s">
        <v>249</v>
      </c>
      <c r="M148" s="660"/>
      <c r="N148" s="660"/>
      <c r="O148" s="660"/>
      <c r="P148" s="660"/>
      <c r="Q148" s="660" t="s">
        <v>191</v>
      </c>
      <c r="R148" s="660" t="s">
        <v>25</v>
      </c>
      <c r="S148" s="660"/>
      <c r="T148" s="660"/>
      <c r="U148" s="660"/>
      <c r="V148" s="665"/>
      <c r="W148" s="659"/>
    </row>
    <row r="149" spans="1:23" s="656" customFormat="1" ht="15.5" x14ac:dyDescent="0.35">
      <c r="A149" s="656" t="str">
        <f t="shared" si="2"/>
        <v>Scen2_2_Walk__15-29_m</v>
      </c>
      <c r="B149" s="660"/>
      <c r="C149" s="656" t="s">
        <v>385</v>
      </c>
      <c r="D149" s="660">
        <v>2</v>
      </c>
      <c r="E149" s="660" t="s">
        <v>118</v>
      </c>
      <c r="F149" s="659" t="s">
        <v>379</v>
      </c>
      <c r="G149" s="660"/>
      <c r="H149" s="656" t="str">
        <f>'MoT Travel Input'!$P$4</f>
        <v>Scenario A: staying close to the action</v>
      </c>
      <c r="K149" s="660"/>
      <c r="L149" s="660" t="s">
        <v>249</v>
      </c>
      <c r="M149" s="660"/>
      <c r="N149" s="660"/>
      <c r="O149" s="660"/>
      <c r="P149" s="660"/>
      <c r="Q149" s="660" t="s">
        <v>4</v>
      </c>
      <c r="R149" s="660" t="s">
        <v>25</v>
      </c>
      <c r="S149" s="660"/>
      <c r="T149" s="660"/>
      <c r="U149" s="660"/>
      <c r="V149" s="665"/>
      <c r="W149" s="659"/>
    </row>
    <row r="150" spans="1:23" s="656" customFormat="1" ht="15.5" x14ac:dyDescent="0.35">
      <c r="A150" s="656" t="str">
        <f t="shared" si="2"/>
        <v>Scen2_2_Walk__30-44_m</v>
      </c>
      <c r="B150" s="660"/>
      <c r="C150" s="656" t="s">
        <v>385</v>
      </c>
      <c r="D150" s="660">
        <v>2</v>
      </c>
      <c r="E150" s="660" t="s">
        <v>118</v>
      </c>
      <c r="F150" s="659" t="s">
        <v>379</v>
      </c>
      <c r="G150" s="660"/>
      <c r="H150" s="656" t="str">
        <f>'MoT Travel Input'!$P$4</f>
        <v>Scenario A: staying close to the action</v>
      </c>
      <c r="K150" s="660"/>
      <c r="L150" s="660" t="s">
        <v>249</v>
      </c>
      <c r="M150" s="660"/>
      <c r="N150" s="660"/>
      <c r="O150" s="660"/>
      <c r="P150" s="660"/>
      <c r="Q150" s="660" t="s">
        <v>5</v>
      </c>
      <c r="R150" s="660" t="s">
        <v>25</v>
      </c>
      <c r="S150" s="660"/>
      <c r="T150" s="660"/>
      <c r="U150" s="660"/>
      <c r="V150" s="665"/>
      <c r="W150" s="659"/>
    </row>
    <row r="151" spans="1:23" s="656" customFormat="1" ht="15.5" x14ac:dyDescent="0.35">
      <c r="A151" s="656" t="str">
        <f t="shared" si="2"/>
        <v>Scen2_2_Walk__45-59_m</v>
      </c>
      <c r="B151" s="660"/>
      <c r="C151" s="656" t="s">
        <v>385</v>
      </c>
      <c r="D151" s="660">
        <v>2</v>
      </c>
      <c r="E151" s="660" t="s">
        <v>118</v>
      </c>
      <c r="F151" s="659" t="s">
        <v>379</v>
      </c>
      <c r="G151" s="660"/>
      <c r="H151" s="656" t="str">
        <f>'MoT Travel Input'!$P$4</f>
        <v>Scenario A: staying close to the action</v>
      </c>
      <c r="K151" s="660"/>
      <c r="L151" s="660" t="s">
        <v>249</v>
      </c>
      <c r="M151" s="660"/>
      <c r="N151" s="660"/>
      <c r="O151" s="660"/>
      <c r="P151" s="660"/>
      <c r="Q151" s="660" t="s">
        <v>6</v>
      </c>
      <c r="R151" s="660" t="s">
        <v>25</v>
      </c>
      <c r="S151" s="660"/>
      <c r="T151" s="660"/>
      <c r="U151" s="660"/>
      <c r="V151" s="665"/>
      <c r="W151" s="659"/>
    </row>
    <row r="152" spans="1:23" s="656" customFormat="1" ht="15.5" x14ac:dyDescent="0.35">
      <c r="A152" s="656" t="str">
        <f t="shared" si="2"/>
        <v>Scen2_2_Walk__60-69_m</v>
      </c>
      <c r="B152" s="660"/>
      <c r="C152" s="656" t="s">
        <v>385</v>
      </c>
      <c r="D152" s="660">
        <v>2</v>
      </c>
      <c r="E152" s="660" t="s">
        <v>118</v>
      </c>
      <c r="F152" s="659" t="s">
        <v>379</v>
      </c>
      <c r="G152" s="660"/>
      <c r="H152" s="656" t="str">
        <f>'MoT Travel Input'!$P$4</f>
        <v>Scenario A: staying close to the action</v>
      </c>
      <c r="K152" s="660"/>
      <c r="L152" s="660" t="s">
        <v>249</v>
      </c>
      <c r="M152" s="660"/>
      <c r="N152" s="660"/>
      <c r="O152" s="660"/>
      <c r="P152" s="660"/>
      <c r="Q152" s="660" t="s">
        <v>7</v>
      </c>
      <c r="R152" s="660" t="s">
        <v>25</v>
      </c>
      <c r="S152" s="660"/>
      <c r="T152" s="660"/>
      <c r="U152" s="660"/>
      <c r="V152" s="665"/>
      <c r="W152" s="659"/>
    </row>
    <row r="153" spans="1:23" s="656" customFormat="1" ht="15.5" x14ac:dyDescent="0.35">
      <c r="A153" s="656" t="str">
        <f t="shared" si="2"/>
        <v>Scen2_2_Walk__70-79_m</v>
      </c>
      <c r="B153" s="660"/>
      <c r="C153" s="656" t="s">
        <v>385</v>
      </c>
      <c r="D153" s="660">
        <v>2</v>
      </c>
      <c r="E153" s="660" t="s">
        <v>118</v>
      </c>
      <c r="F153" s="659" t="s">
        <v>379</v>
      </c>
      <c r="G153" s="660"/>
      <c r="H153" s="656" t="str">
        <f>'MoT Travel Input'!$P$4</f>
        <v>Scenario A: staying close to the action</v>
      </c>
      <c r="K153" s="660"/>
      <c r="L153" s="660" t="s">
        <v>249</v>
      </c>
      <c r="M153" s="660"/>
      <c r="N153" s="660"/>
      <c r="O153" s="660"/>
      <c r="P153" s="660"/>
      <c r="Q153" s="660" t="s">
        <v>8</v>
      </c>
      <c r="R153" s="660" t="s">
        <v>25</v>
      </c>
      <c r="S153" s="660"/>
      <c r="T153" s="660"/>
      <c r="U153" s="660"/>
      <c r="V153" s="665"/>
      <c r="W153" s="659"/>
    </row>
    <row r="154" spans="1:23" s="656" customFormat="1" ht="15.5" x14ac:dyDescent="0.35">
      <c r="A154" s="656" t="str">
        <f t="shared" si="2"/>
        <v>Scen2_2_Walk__80+_m</v>
      </c>
      <c r="B154" s="660"/>
      <c r="C154" s="656" t="s">
        <v>385</v>
      </c>
      <c r="D154" s="660">
        <v>2</v>
      </c>
      <c r="E154" s="660" t="s">
        <v>118</v>
      </c>
      <c r="F154" s="659" t="s">
        <v>379</v>
      </c>
      <c r="G154" s="660"/>
      <c r="H154" s="656" t="str">
        <f>'MoT Travel Input'!$P$4</f>
        <v>Scenario A: staying close to the action</v>
      </c>
      <c r="K154" s="660"/>
      <c r="L154" s="660" t="s">
        <v>249</v>
      </c>
      <c r="M154" s="660"/>
      <c r="N154" s="660"/>
      <c r="O154" s="660"/>
      <c r="P154" s="660"/>
      <c r="Q154" s="660" t="s">
        <v>9</v>
      </c>
      <c r="R154" s="660" t="s">
        <v>25</v>
      </c>
      <c r="S154" s="660"/>
      <c r="T154" s="660"/>
      <c r="U154" s="660"/>
      <c r="V154" s="665"/>
      <c r="W154" s="659"/>
    </row>
    <row r="155" spans="1:23" s="671" customFormat="1" ht="15.5" x14ac:dyDescent="0.35">
      <c r="A155" s="667" t="str">
        <f t="shared" ref="A155:A221" si="3">C155&amp;"_"&amp;D155&amp;"_"&amp;L155&amp;"_"&amp;O155&amp;"_"&amp;Q155&amp;"_"&amp;R155</f>
        <v>Scen3_1_walk___</v>
      </c>
      <c r="B155" s="667"/>
      <c r="C155" s="667" t="s">
        <v>386</v>
      </c>
      <c r="D155" s="667">
        <v>1</v>
      </c>
      <c r="E155" s="667" t="s">
        <v>255</v>
      </c>
      <c r="F155" s="667" t="s">
        <v>256</v>
      </c>
      <c r="G155" s="667"/>
      <c r="H155" s="667" t="str">
        <f>'MoT Travel Input'!$P$5</f>
        <v>Scenario B: metro-connected</v>
      </c>
      <c r="I155" s="667"/>
      <c r="J155" s="667"/>
      <c r="K155" s="667"/>
      <c r="L155" s="667" t="s">
        <v>91</v>
      </c>
      <c r="M155" s="667"/>
      <c r="N155" s="667"/>
      <c r="O155" s="667"/>
      <c r="P155" s="667"/>
      <c r="Q155" s="667"/>
      <c r="R155" s="667"/>
      <c r="S155" s="667"/>
      <c r="T155" s="667"/>
      <c r="U155" s="668">
        <f>'MoT Travel Input'!K3</f>
        <v>7.9155937620452166</v>
      </c>
      <c r="V155" s="669"/>
      <c r="W155" s="670"/>
    </row>
    <row r="156" spans="1:23" s="671" customFormat="1" ht="15.5" x14ac:dyDescent="0.35">
      <c r="A156" s="667" t="str">
        <f t="shared" si="3"/>
        <v>Scen3_1_bike___</v>
      </c>
      <c r="B156" s="667"/>
      <c r="C156" s="667" t="s">
        <v>386</v>
      </c>
      <c r="D156" s="667">
        <v>1</v>
      </c>
      <c r="E156" s="667" t="s">
        <v>255</v>
      </c>
      <c r="F156" s="667" t="s">
        <v>256</v>
      </c>
      <c r="G156" s="667"/>
      <c r="H156" s="667" t="str">
        <f>'MoT Travel Input'!$P$5</f>
        <v>Scenario B: metro-connected</v>
      </c>
      <c r="I156" s="667"/>
      <c r="J156" s="667"/>
      <c r="K156" s="667"/>
      <c r="L156" s="667" t="s">
        <v>248</v>
      </c>
      <c r="M156" s="667"/>
      <c r="N156" s="667"/>
      <c r="O156" s="667"/>
      <c r="P156" s="667"/>
      <c r="Q156" s="667"/>
      <c r="R156" s="667"/>
      <c r="S156" s="667"/>
      <c r="T156" s="667"/>
      <c r="U156" s="668">
        <f>'MoT Travel Input'!K4</f>
        <v>1.8470400760581531</v>
      </c>
      <c r="V156" s="669"/>
      <c r="W156" s="670"/>
    </row>
    <row r="157" spans="1:23" s="671" customFormat="1" ht="15.5" x14ac:dyDescent="0.35">
      <c r="A157" s="667" t="str">
        <f t="shared" si="3"/>
        <v>Scen3_1_rail___</v>
      </c>
      <c r="B157" s="667"/>
      <c r="C157" s="667" t="s">
        <v>386</v>
      </c>
      <c r="D157" s="667">
        <v>1</v>
      </c>
      <c r="E157" s="667" t="s">
        <v>255</v>
      </c>
      <c r="F157" s="667" t="s">
        <v>256</v>
      </c>
      <c r="G157" s="667"/>
      <c r="H157" s="667" t="str">
        <f>'MoT Travel Input'!$P$5</f>
        <v>Scenario B: metro-connected</v>
      </c>
      <c r="I157" s="667"/>
      <c r="J157" s="667"/>
      <c r="K157" s="667"/>
      <c r="L157" s="667" t="s">
        <v>193</v>
      </c>
      <c r="M157" s="667"/>
      <c r="N157" s="667"/>
      <c r="O157" s="667"/>
      <c r="P157" s="667"/>
      <c r="Q157" s="667"/>
      <c r="R157" s="667"/>
      <c r="S157" s="667"/>
      <c r="T157" s="667"/>
      <c r="U157" s="668">
        <f>'MoT Travel Input'!K5</f>
        <v>1.4342099173113765</v>
      </c>
      <c r="V157" s="669"/>
      <c r="W157" s="670"/>
    </row>
    <row r="158" spans="1:23" s="671" customFormat="1" ht="15.5" x14ac:dyDescent="0.35">
      <c r="A158" s="667" t="str">
        <f t="shared" si="3"/>
        <v>Scen3_1_bus___</v>
      </c>
      <c r="B158" s="667"/>
      <c r="C158" s="667" t="s">
        <v>386</v>
      </c>
      <c r="D158" s="667">
        <v>1</v>
      </c>
      <c r="E158" s="667" t="s">
        <v>255</v>
      </c>
      <c r="F158" s="667" t="s">
        <v>256</v>
      </c>
      <c r="G158" s="667"/>
      <c r="H158" s="667" t="str">
        <f>'MoT Travel Input'!$P$5</f>
        <v>Scenario B: metro-connected</v>
      </c>
      <c r="I158" s="667"/>
      <c r="J158" s="667"/>
      <c r="K158" s="667"/>
      <c r="L158" s="667" t="s">
        <v>93</v>
      </c>
      <c r="M158" s="667"/>
      <c r="N158" s="667"/>
      <c r="O158" s="667"/>
      <c r="P158" s="667"/>
      <c r="Q158" s="667"/>
      <c r="R158" s="667"/>
      <c r="S158" s="667"/>
      <c r="T158" s="667"/>
      <c r="U158" s="668">
        <f>'MoT Travel Input'!K6</f>
        <v>2.0626512984202252</v>
      </c>
      <c r="V158" s="669"/>
      <c r="W158" s="670"/>
    </row>
    <row r="159" spans="1:23" s="671" customFormat="1" ht="15.5" x14ac:dyDescent="0.35">
      <c r="A159" s="667" t="str">
        <f t="shared" si="3"/>
        <v>Scen3_1_other___</v>
      </c>
      <c r="B159" s="667"/>
      <c r="C159" s="667" t="s">
        <v>386</v>
      </c>
      <c r="D159" s="667">
        <v>1</v>
      </c>
      <c r="E159" s="667" t="s">
        <v>255</v>
      </c>
      <c r="F159" s="667" t="s">
        <v>256</v>
      </c>
      <c r="G159" s="667"/>
      <c r="H159" s="667" t="str">
        <f>'MoT Travel Input'!$P$5</f>
        <v>Scenario B: metro-connected</v>
      </c>
      <c r="I159" s="667"/>
      <c r="J159" s="667"/>
      <c r="K159" s="667"/>
      <c r="L159" s="667" t="s">
        <v>194</v>
      </c>
      <c r="M159" s="667"/>
      <c r="N159" s="667"/>
      <c r="O159" s="667"/>
      <c r="P159" s="667"/>
      <c r="Q159" s="667"/>
      <c r="R159" s="667"/>
      <c r="S159" s="667"/>
      <c r="T159" s="667"/>
      <c r="U159" s="668">
        <f>'MoT Travel Input'!K7</f>
        <v>0.685160271719778</v>
      </c>
      <c r="V159" s="669"/>
      <c r="W159" s="670"/>
    </row>
    <row r="160" spans="1:23" s="671" customFormat="1" ht="15.5" x14ac:dyDescent="0.35">
      <c r="A160" s="667" t="str">
        <f t="shared" si="3"/>
        <v>Scen3_1_auto (driver)___</v>
      </c>
      <c r="B160" s="667"/>
      <c r="C160" s="667" t="s">
        <v>386</v>
      </c>
      <c r="D160" s="667">
        <v>1</v>
      </c>
      <c r="E160" s="667" t="s">
        <v>255</v>
      </c>
      <c r="F160" s="667" t="s">
        <v>256</v>
      </c>
      <c r="G160" s="667"/>
      <c r="H160" s="667" t="str">
        <f>'MoT Travel Input'!$P$5</f>
        <v>Scenario B: metro-connected</v>
      </c>
      <c r="I160" s="667"/>
      <c r="J160" s="667"/>
      <c r="K160" s="667"/>
      <c r="L160" s="667" t="s">
        <v>251</v>
      </c>
      <c r="M160" s="667"/>
      <c r="N160" s="667"/>
      <c r="O160" s="667"/>
      <c r="P160" s="667"/>
      <c r="Q160" s="667"/>
      <c r="R160" s="667"/>
      <c r="S160" s="667"/>
      <c r="T160" s="667"/>
      <c r="U160" s="668">
        <f>'MoT Travel Input'!K8</f>
        <v>29.980041379425387</v>
      </c>
      <c r="V160" s="669"/>
      <c r="W160" s="670"/>
    </row>
    <row r="161" spans="1:23" s="671" customFormat="1" ht="15.5" x14ac:dyDescent="0.35">
      <c r="A161" s="667" t="str">
        <f t="shared" si="3"/>
        <v>Scen3_1_auto (passenger)___</v>
      </c>
      <c r="B161" s="667"/>
      <c r="C161" s="667" t="s">
        <v>386</v>
      </c>
      <c r="D161" s="667">
        <v>1</v>
      </c>
      <c r="E161" s="667" t="s">
        <v>255</v>
      </c>
      <c r="F161" s="667" t="s">
        <v>256</v>
      </c>
      <c r="G161" s="667"/>
      <c r="H161" s="667" t="str">
        <f>'MoT Travel Input'!$P$5</f>
        <v>Scenario B: metro-connected</v>
      </c>
      <c r="I161" s="667"/>
      <c r="J161" s="667"/>
      <c r="K161" s="667"/>
      <c r="L161" s="667" t="s">
        <v>252</v>
      </c>
      <c r="M161" s="667"/>
      <c r="N161" s="667"/>
      <c r="O161" s="667"/>
      <c r="P161" s="667"/>
      <c r="Q161" s="667"/>
      <c r="R161" s="667"/>
      <c r="S161" s="667"/>
      <c r="T161" s="667"/>
      <c r="U161" s="668">
        <f>'MoT Travel Input'!K9</f>
        <v>12.813191030758967</v>
      </c>
      <c r="V161" s="669"/>
      <c r="W161" s="670"/>
    </row>
    <row r="162" spans="1:23" s="671" customFormat="1" ht="15.5" x14ac:dyDescent="0.35">
      <c r="A162" s="667" t="str">
        <f t="shared" si="3"/>
        <v>Scen3_3_walk___</v>
      </c>
      <c r="B162" s="667"/>
      <c r="C162" s="667" t="s">
        <v>386</v>
      </c>
      <c r="D162" s="667">
        <v>3</v>
      </c>
      <c r="E162" s="667" t="s">
        <v>257</v>
      </c>
      <c r="F162" s="672" t="s">
        <v>368</v>
      </c>
      <c r="G162" s="667"/>
      <c r="H162" s="667" t="str">
        <f>'MoT Travel Input'!$P$5</f>
        <v>Scenario B: metro-connected</v>
      </c>
      <c r="I162" s="667"/>
      <c r="J162" s="667"/>
      <c r="K162" s="667"/>
      <c r="L162" s="667" t="s">
        <v>91</v>
      </c>
      <c r="M162" s="667"/>
      <c r="N162" s="667"/>
      <c r="O162" s="667"/>
      <c r="P162" s="667"/>
      <c r="Q162" s="667"/>
      <c r="R162" s="667"/>
      <c r="S162" s="667"/>
      <c r="T162" s="667"/>
      <c r="U162" s="668">
        <f>'MoT Travel Input'!K10</f>
        <v>0.50669525518657776</v>
      </c>
      <c r="V162" s="669"/>
      <c r="W162" s="670"/>
    </row>
    <row r="163" spans="1:23" s="671" customFormat="1" ht="15.5" x14ac:dyDescent="0.35">
      <c r="A163" s="667" t="str">
        <f t="shared" si="3"/>
        <v>Scen3_3_bike___</v>
      </c>
      <c r="B163" s="667"/>
      <c r="C163" s="667" t="s">
        <v>386</v>
      </c>
      <c r="D163" s="672">
        <v>3</v>
      </c>
      <c r="E163" s="672" t="s">
        <v>257</v>
      </c>
      <c r="F163" s="672" t="s">
        <v>368</v>
      </c>
      <c r="G163" s="672"/>
      <c r="H163" s="667" t="str">
        <f>'MoT Travel Input'!$P$5</f>
        <v>Scenario B: metro-connected</v>
      </c>
      <c r="I163" s="672"/>
      <c r="J163" s="672"/>
      <c r="K163" s="672"/>
      <c r="L163" s="672" t="s">
        <v>248</v>
      </c>
      <c r="M163" s="672"/>
      <c r="N163" s="667"/>
      <c r="O163" s="672"/>
      <c r="P163" s="672"/>
      <c r="Q163" s="672"/>
      <c r="R163" s="672"/>
      <c r="S163" s="672"/>
      <c r="T163" s="673"/>
      <c r="U163" s="668">
        <f>'MoT Travel Input'!K11</f>
        <v>0.40256127033421091</v>
      </c>
      <c r="V163" s="669"/>
      <c r="W163" s="670"/>
    </row>
    <row r="164" spans="1:23" s="671" customFormat="1" ht="15.5" x14ac:dyDescent="0.35">
      <c r="A164" s="667" t="str">
        <f t="shared" si="3"/>
        <v>Scen3_3_rail___</v>
      </c>
      <c r="B164" s="667"/>
      <c r="C164" s="667" t="s">
        <v>386</v>
      </c>
      <c r="D164" s="672">
        <v>3</v>
      </c>
      <c r="E164" s="672" t="s">
        <v>257</v>
      </c>
      <c r="F164" s="672" t="s">
        <v>368</v>
      </c>
      <c r="G164" s="672"/>
      <c r="H164" s="667" t="str">
        <f>'MoT Travel Input'!$P$5</f>
        <v>Scenario B: metro-connected</v>
      </c>
      <c r="I164" s="672"/>
      <c r="J164" s="672"/>
      <c r="K164" s="672"/>
      <c r="L164" s="672" t="s">
        <v>193</v>
      </c>
      <c r="M164" s="672"/>
      <c r="N164" s="667"/>
      <c r="O164" s="672"/>
      <c r="P164" s="672"/>
      <c r="Q164" s="672"/>
      <c r="R164" s="672"/>
      <c r="S164" s="672"/>
      <c r="T164" s="673"/>
      <c r="U164" s="668">
        <f>'MoT Travel Input'!K12</f>
        <v>0.78388148002658942</v>
      </c>
      <c r="V164" s="669"/>
      <c r="W164" s="670"/>
    </row>
    <row r="165" spans="1:23" s="671" customFormat="1" ht="15.5" x14ac:dyDescent="0.35">
      <c r="A165" s="667" t="str">
        <f t="shared" si="3"/>
        <v>Scen3_3_bus___</v>
      </c>
      <c r="B165" s="667"/>
      <c r="C165" s="667" t="s">
        <v>386</v>
      </c>
      <c r="D165" s="672">
        <v>3</v>
      </c>
      <c r="E165" s="672" t="s">
        <v>257</v>
      </c>
      <c r="F165" s="672" t="s">
        <v>368</v>
      </c>
      <c r="G165" s="672"/>
      <c r="H165" s="667" t="str">
        <f>'MoT Travel Input'!$P$5</f>
        <v>Scenario B: metro-connected</v>
      </c>
      <c r="I165" s="672"/>
      <c r="J165" s="672"/>
      <c r="K165" s="672"/>
      <c r="L165" s="672" t="s">
        <v>93</v>
      </c>
      <c r="M165" s="672"/>
      <c r="N165" s="667"/>
      <c r="O165" s="672"/>
      <c r="P165" s="672"/>
      <c r="Q165" s="672"/>
      <c r="R165" s="672"/>
      <c r="S165" s="672"/>
      <c r="T165" s="673"/>
      <c r="U165" s="668">
        <f>'MoT Travel Input'!K13</f>
        <v>0.71859996275549731</v>
      </c>
      <c r="V165" s="669"/>
      <c r="W165" s="670"/>
    </row>
    <row r="166" spans="1:23" s="671" customFormat="1" ht="15.5" x14ac:dyDescent="0.35">
      <c r="A166" s="667" t="str">
        <f t="shared" si="3"/>
        <v>Scen3_3_other___</v>
      </c>
      <c r="B166" s="667"/>
      <c r="C166" s="667" t="s">
        <v>386</v>
      </c>
      <c r="D166" s="672">
        <v>3</v>
      </c>
      <c r="E166" s="672" t="s">
        <v>257</v>
      </c>
      <c r="F166" s="672" t="s">
        <v>368</v>
      </c>
      <c r="G166" s="672"/>
      <c r="H166" s="667" t="str">
        <f>'MoT Travel Input'!$P$5</f>
        <v>Scenario B: metro-connected</v>
      </c>
      <c r="I166" s="672"/>
      <c r="J166" s="672"/>
      <c r="K166" s="672"/>
      <c r="L166" s="672" t="s">
        <v>194</v>
      </c>
      <c r="M166" s="672"/>
      <c r="N166" s="667"/>
      <c r="O166" s="672"/>
      <c r="P166" s="672"/>
      <c r="Q166" s="672"/>
      <c r="R166" s="672"/>
      <c r="S166" s="672"/>
      <c r="T166" s="673"/>
      <c r="U166" s="668">
        <f>'MoT Travel Input'!K14</f>
        <v>0.21929902339349372</v>
      </c>
      <c r="V166" s="669"/>
      <c r="W166" s="670"/>
    </row>
    <row r="167" spans="1:23" s="671" customFormat="1" ht="15.5" x14ac:dyDescent="0.35">
      <c r="A167" s="667" t="str">
        <f t="shared" si="3"/>
        <v>Scen3_3_auto (driver)___</v>
      </c>
      <c r="B167" s="667"/>
      <c r="C167" s="667" t="s">
        <v>386</v>
      </c>
      <c r="D167" s="672">
        <v>3</v>
      </c>
      <c r="E167" s="672" t="s">
        <v>257</v>
      </c>
      <c r="F167" s="672" t="s">
        <v>368</v>
      </c>
      <c r="G167" s="672"/>
      <c r="H167" s="667" t="str">
        <f>'MoT Travel Input'!$P$5</f>
        <v>Scenario B: metro-connected</v>
      </c>
      <c r="I167" s="672"/>
      <c r="J167" s="672"/>
      <c r="K167" s="672"/>
      <c r="L167" s="672" t="s">
        <v>251</v>
      </c>
      <c r="M167" s="672"/>
      <c r="N167" s="667"/>
      <c r="O167" s="672"/>
      <c r="P167" s="672"/>
      <c r="Q167" s="672"/>
      <c r="R167" s="672"/>
      <c r="S167" s="672"/>
      <c r="U167" s="668">
        <f>'MoT Travel Input'!K15</f>
        <v>18.947171461927432</v>
      </c>
      <c r="V167" s="669"/>
      <c r="W167" s="670"/>
    </row>
    <row r="168" spans="1:23" s="671" customFormat="1" ht="15.5" x14ac:dyDescent="0.35">
      <c r="A168" s="667" t="str">
        <f t="shared" si="3"/>
        <v>Scen3_3_auto (passenger)___</v>
      </c>
      <c r="B168" s="667"/>
      <c r="C168" s="667" t="s">
        <v>386</v>
      </c>
      <c r="D168" s="672">
        <v>3</v>
      </c>
      <c r="E168" s="672" t="s">
        <v>257</v>
      </c>
      <c r="F168" s="672" t="s">
        <v>368</v>
      </c>
      <c r="G168" s="672"/>
      <c r="H168" s="667" t="str">
        <f>'MoT Travel Input'!$P$5</f>
        <v>Scenario B: metro-connected</v>
      </c>
      <c r="I168" s="672"/>
      <c r="J168" s="672"/>
      <c r="K168" s="672"/>
      <c r="L168" s="672" t="s">
        <v>252</v>
      </c>
      <c r="M168" s="672"/>
      <c r="N168" s="667"/>
      <c r="O168" s="672"/>
      <c r="P168" s="672"/>
      <c r="Q168" s="672"/>
      <c r="R168" s="672"/>
      <c r="S168" s="672"/>
      <c r="T168" s="673"/>
      <c r="U168" s="668">
        <f>'MoT Travel Input'!K16</f>
        <v>9.1365560392493279</v>
      </c>
      <c r="V168" s="669"/>
      <c r="W168" s="670"/>
    </row>
    <row r="169" spans="1:23" s="671" customFormat="1" ht="15.5" x14ac:dyDescent="0.35">
      <c r="A169" s="667" t="str">
        <f t="shared" si="3"/>
        <v>Scen3_18____</v>
      </c>
      <c r="B169" s="667"/>
      <c r="C169" s="667" t="s">
        <v>386</v>
      </c>
      <c r="D169" s="672">
        <v>18</v>
      </c>
      <c r="E169" s="672" t="s">
        <v>259</v>
      </c>
      <c r="F169" s="672" t="s">
        <v>260</v>
      </c>
      <c r="G169" s="672"/>
      <c r="H169" s="667" t="str">
        <f>'MoT Travel Input'!$P$5</f>
        <v>Scenario B: metro-connected</v>
      </c>
      <c r="I169" s="672"/>
      <c r="J169" s="672"/>
      <c r="K169" s="672"/>
      <c r="L169" s="672"/>
      <c r="M169" s="672"/>
      <c r="N169" s="672"/>
      <c r="O169" s="672"/>
      <c r="P169" s="672"/>
      <c r="Q169" s="672"/>
      <c r="R169" s="672"/>
      <c r="S169" s="672"/>
      <c r="T169" s="672"/>
      <c r="U169" s="741">
        <f>'MoT Travel Input'!K21</f>
        <v>5922499.9999999991</v>
      </c>
      <c r="V169" s="669"/>
      <c r="W169" s="670"/>
    </row>
    <row r="170" spans="1:23" s="671" customFormat="1" ht="15.5" x14ac:dyDescent="0.35">
      <c r="A170" s="667" t="str">
        <f t="shared" si="3"/>
        <v>Scen3_10.1_Auto (Driver)___</v>
      </c>
      <c r="B170" s="667"/>
      <c r="C170" s="667" t="s">
        <v>386</v>
      </c>
      <c r="D170" s="672">
        <v>10.1</v>
      </c>
      <c r="E170" s="672" t="s">
        <v>369</v>
      </c>
      <c r="F170" s="672" t="s">
        <v>368</v>
      </c>
      <c r="G170" s="672"/>
      <c r="H170" s="667" t="str">
        <f>'MoT Travel Input'!$P$5</f>
        <v>Scenario B: metro-connected</v>
      </c>
      <c r="I170" s="672"/>
      <c r="J170" s="672"/>
      <c r="K170" s="672"/>
      <c r="L170" s="672" t="s">
        <v>234</v>
      </c>
      <c r="M170" s="672"/>
      <c r="N170" s="672"/>
      <c r="O170" s="672"/>
      <c r="P170" s="672"/>
      <c r="Q170" s="672"/>
      <c r="R170" s="672"/>
      <c r="S170" s="674"/>
      <c r="T170" s="672"/>
      <c r="U170" s="675">
        <f>'MoT Travel Input'!K17</f>
        <v>112214622.98326521</v>
      </c>
      <c r="V170" s="669"/>
      <c r="W170" s="670"/>
    </row>
    <row r="171" spans="1:23" s="671" customFormat="1" ht="15.5" x14ac:dyDescent="0.35">
      <c r="A171" s="667" t="str">
        <f t="shared" si="3"/>
        <v>Scen3_10.1_Auto (Passenger)___</v>
      </c>
      <c r="B171" s="667"/>
      <c r="C171" s="667" t="s">
        <v>386</v>
      </c>
      <c r="D171" s="672">
        <v>10.1</v>
      </c>
      <c r="E171" s="672" t="s">
        <v>369</v>
      </c>
      <c r="F171" s="672" t="s">
        <v>368</v>
      </c>
      <c r="G171" s="672"/>
      <c r="H171" s="667" t="str">
        <f>'MoT Travel Input'!$P$5</f>
        <v>Scenario B: metro-connected</v>
      </c>
      <c r="I171" s="672"/>
      <c r="J171" s="672"/>
      <c r="K171" s="672"/>
      <c r="L171" s="672" t="s">
        <v>235</v>
      </c>
      <c r="M171" s="672"/>
      <c r="N171" s="672"/>
      <c r="O171" s="672"/>
      <c r="P171" s="672"/>
      <c r="Q171" s="672"/>
      <c r="R171" s="672"/>
      <c r="S171" s="674"/>
      <c r="U171" s="675">
        <f>'MoT Travel Input'!K18</f>
        <v>54111253.142454132</v>
      </c>
      <c r="V171" s="669"/>
      <c r="W171" s="670"/>
    </row>
    <row r="172" spans="1:23" s="671" customFormat="1" ht="15.5" x14ac:dyDescent="0.35">
      <c r="A172" s="667" t="str">
        <f t="shared" si="3"/>
        <v>Scen3_10.2_Auto (Driver)___</v>
      </c>
      <c r="B172" s="667"/>
      <c r="C172" s="667" t="s">
        <v>386</v>
      </c>
      <c r="D172" s="672">
        <v>10.199999999999999</v>
      </c>
      <c r="E172" s="672" t="s">
        <v>272</v>
      </c>
      <c r="F172" s="672" t="s">
        <v>273</v>
      </c>
      <c r="G172" s="672"/>
      <c r="H172" s="667" t="str">
        <f>'MoT Travel Input'!$P$5</f>
        <v>Scenario B: metro-connected</v>
      </c>
      <c r="I172" s="672"/>
      <c r="J172" s="672"/>
      <c r="K172" s="672"/>
      <c r="L172" s="672" t="s">
        <v>234</v>
      </c>
      <c r="M172" s="672"/>
      <c r="N172" s="672"/>
      <c r="O172" s="672"/>
      <c r="P172" s="672"/>
      <c r="Q172" s="672"/>
      <c r="R172" s="672"/>
      <c r="S172" s="674"/>
      <c r="T172" s="672"/>
      <c r="U172" s="675">
        <f>'MoT Travel Input'!K19</f>
        <v>2959279.9178274474</v>
      </c>
      <c r="V172" s="669"/>
      <c r="W172" s="670"/>
    </row>
    <row r="173" spans="1:23" s="671" customFormat="1" ht="15.5" x14ac:dyDescent="0.35">
      <c r="A173" s="667" t="str">
        <f t="shared" si="3"/>
        <v>Scen3_10.2_Auto (Passenger)___</v>
      </c>
      <c r="B173" s="667"/>
      <c r="C173" s="667" t="s">
        <v>386</v>
      </c>
      <c r="D173" s="667">
        <v>10.199999999999999</v>
      </c>
      <c r="E173" s="667" t="s">
        <v>272</v>
      </c>
      <c r="F173" s="667" t="s">
        <v>273</v>
      </c>
      <c r="G173" s="667"/>
      <c r="H173" s="667" t="str">
        <f>'MoT Travel Input'!$P$5</f>
        <v>Scenario B: metro-connected</v>
      </c>
      <c r="I173" s="667"/>
      <c r="J173" s="667"/>
      <c r="K173" s="667"/>
      <c r="L173" s="667" t="s">
        <v>235</v>
      </c>
      <c r="M173" s="667"/>
      <c r="N173" s="667"/>
      <c r="O173" s="667"/>
      <c r="P173" s="667"/>
      <c r="Q173" s="667"/>
      <c r="R173" s="667"/>
      <c r="S173" s="667"/>
      <c r="T173" s="667"/>
      <c r="U173" s="675">
        <f>'MoT Travel Input'!K20</f>
        <v>1264768.7313278329</v>
      </c>
      <c r="V173" s="669"/>
      <c r="W173" s="670"/>
    </row>
    <row r="174" spans="1:23" s="667" customFormat="1" ht="15.5" x14ac:dyDescent="0.35">
      <c r="A174" s="667" t="str">
        <f t="shared" si="3"/>
        <v>Scen3_5___0-4_f</v>
      </c>
      <c r="B174" s="671"/>
      <c r="C174" s="667" t="s">
        <v>386</v>
      </c>
      <c r="D174" s="671">
        <v>5</v>
      </c>
      <c r="E174" s="671" t="s">
        <v>223</v>
      </c>
      <c r="F174" s="670" t="s">
        <v>101</v>
      </c>
      <c r="G174" s="671"/>
      <c r="H174" s="667" t="str">
        <f>'MoT Travel Input'!$P$5</f>
        <v>Scenario B: metro-connected</v>
      </c>
      <c r="K174" s="671"/>
      <c r="L174" s="671"/>
      <c r="M174" s="671"/>
      <c r="N174" s="671"/>
      <c r="O174" s="671"/>
      <c r="P174" s="671"/>
      <c r="Q174" s="670" t="s">
        <v>2</v>
      </c>
      <c r="R174" s="671" t="s">
        <v>26</v>
      </c>
      <c r="S174" s="671"/>
      <c r="T174" s="671"/>
      <c r="U174" s="671">
        <f>'[4]NZ.Stat export'!W6</f>
        <v>2.6084754347459056E-2</v>
      </c>
      <c r="V174" s="676"/>
      <c r="W174" s="670"/>
    </row>
    <row r="175" spans="1:23" s="667" customFormat="1" ht="15.5" x14ac:dyDescent="0.35">
      <c r="A175" s="667" t="str">
        <f t="shared" si="3"/>
        <v>Scen3_5___5-14_f</v>
      </c>
      <c r="B175" s="671"/>
      <c r="C175" s="667" t="s">
        <v>386</v>
      </c>
      <c r="D175" s="671">
        <v>5</v>
      </c>
      <c r="E175" s="671" t="s">
        <v>223</v>
      </c>
      <c r="F175" s="670" t="s">
        <v>101</v>
      </c>
      <c r="G175" s="671"/>
      <c r="H175" s="667" t="str">
        <f>'MoT Travel Input'!$P$5</f>
        <v>Scenario B: metro-connected</v>
      </c>
      <c r="K175" s="671"/>
      <c r="L175" s="671"/>
      <c r="M175" s="671"/>
      <c r="N175" s="671"/>
      <c r="O175" s="671"/>
      <c r="P175" s="671"/>
      <c r="Q175" s="677" t="s">
        <v>3</v>
      </c>
      <c r="R175" s="671" t="s">
        <v>26</v>
      </c>
      <c r="S175" s="671"/>
      <c r="T175" s="671"/>
      <c r="U175" s="671">
        <f>'[4]NZ.Stat export'!W7</f>
        <v>5.3435758905959821E-2</v>
      </c>
      <c r="V175" s="676"/>
      <c r="W175" s="670"/>
    </row>
    <row r="176" spans="1:23" s="667" customFormat="1" ht="15.5" x14ac:dyDescent="0.35">
      <c r="A176" s="667" t="str">
        <f t="shared" si="3"/>
        <v>Scen3_5___15-29_f</v>
      </c>
      <c r="B176" s="671"/>
      <c r="C176" s="667" t="s">
        <v>386</v>
      </c>
      <c r="D176" s="671">
        <v>5</v>
      </c>
      <c r="E176" s="671" t="s">
        <v>223</v>
      </c>
      <c r="F176" s="670" t="s">
        <v>101</v>
      </c>
      <c r="G176" s="671"/>
      <c r="H176" s="667" t="str">
        <f>'MoT Travel Input'!$P$5</f>
        <v>Scenario B: metro-connected</v>
      </c>
      <c r="K176" s="671"/>
      <c r="L176" s="671"/>
      <c r="M176" s="671"/>
      <c r="N176" s="671"/>
      <c r="O176" s="671"/>
      <c r="P176" s="671"/>
      <c r="Q176" s="671" t="s">
        <v>4</v>
      </c>
      <c r="R176" s="671" t="s">
        <v>26</v>
      </c>
      <c r="S176" s="671"/>
      <c r="T176" s="671"/>
      <c r="U176" s="671">
        <f>'[4]NZ.Stat export'!W8</f>
        <v>8.5041364173560702E-2</v>
      </c>
      <c r="V176" s="676"/>
      <c r="W176" s="670"/>
    </row>
    <row r="177" spans="1:23" s="667" customFormat="1" ht="15.5" x14ac:dyDescent="0.35">
      <c r="A177" s="667" t="str">
        <f t="shared" si="3"/>
        <v>Scen3_5___30-44_f</v>
      </c>
      <c r="B177" s="671"/>
      <c r="C177" s="667" t="s">
        <v>386</v>
      </c>
      <c r="D177" s="671">
        <v>5</v>
      </c>
      <c r="E177" s="671" t="s">
        <v>223</v>
      </c>
      <c r="F177" s="670" t="s">
        <v>101</v>
      </c>
      <c r="G177" s="671"/>
      <c r="H177" s="667" t="str">
        <f>'MoT Travel Input'!$P$5</f>
        <v>Scenario B: metro-connected</v>
      </c>
      <c r="K177" s="671"/>
      <c r="L177" s="671"/>
      <c r="M177" s="671"/>
      <c r="N177" s="671"/>
      <c r="O177" s="671"/>
      <c r="P177" s="671"/>
      <c r="Q177" s="671" t="s">
        <v>5</v>
      </c>
      <c r="R177" s="671" t="s">
        <v>26</v>
      </c>
      <c r="S177" s="671"/>
      <c r="T177" s="671"/>
      <c r="U177" s="671">
        <f>'[4]NZ.Stat export'!W9</f>
        <v>8.9211548201924701E-2</v>
      </c>
      <c r="V177" s="676"/>
      <c r="W177" s="670"/>
    </row>
    <row r="178" spans="1:23" s="667" customFormat="1" ht="15.5" x14ac:dyDescent="0.35">
      <c r="A178" s="667" t="str">
        <f t="shared" si="3"/>
        <v>Scen3_5___45-59_f</v>
      </c>
      <c r="B178" s="671"/>
      <c r="C178" s="667" t="s">
        <v>386</v>
      </c>
      <c r="D178" s="671">
        <v>5</v>
      </c>
      <c r="E178" s="671" t="s">
        <v>223</v>
      </c>
      <c r="F178" s="670" t="s">
        <v>101</v>
      </c>
      <c r="G178" s="671"/>
      <c r="H178" s="667" t="str">
        <f>'MoT Travel Input'!$P$5</f>
        <v>Scenario B: metro-connected</v>
      </c>
      <c r="K178" s="671"/>
      <c r="L178" s="671"/>
      <c r="M178" s="671"/>
      <c r="N178" s="671"/>
      <c r="O178" s="671"/>
      <c r="P178" s="671"/>
      <c r="Q178" s="671" t="s">
        <v>6</v>
      </c>
      <c r="R178" s="671" t="s">
        <v>26</v>
      </c>
      <c r="S178" s="671"/>
      <c r="T178" s="671"/>
      <c r="U178" s="671">
        <f>'[4]NZ.Stat export'!W10</f>
        <v>9.5694749282458219E-2</v>
      </c>
      <c r="V178" s="676"/>
      <c r="W178" s="670"/>
    </row>
    <row r="179" spans="1:23" s="667" customFormat="1" ht="15.5" x14ac:dyDescent="0.35">
      <c r="A179" s="667" t="str">
        <f t="shared" si="3"/>
        <v>Scen3_5___60-69_f</v>
      </c>
      <c r="B179" s="671"/>
      <c r="C179" s="667" t="s">
        <v>386</v>
      </c>
      <c r="D179" s="671">
        <v>5</v>
      </c>
      <c r="E179" s="671" t="s">
        <v>223</v>
      </c>
      <c r="F179" s="670" t="s">
        <v>101</v>
      </c>
      <c r="G179" s="671"/>
      <c r="H179" s="667" t="str">
        <f>'MoT Travel Input'!$P$5</f>
        <v>Scenario B: metro-connected</v>
      </c>
      <c r="K179" s="671"/>
      <c r="L179" s="671"/>
      <c r="M179" s="671"/>
      <c r="N179" s="671"/>
      <c r="O179" s="671"/>
      <c r="P179" s="671"/>
      <c r="Q179" s="671" t="s">
        <v>7</v>
      </c>
      <c r="R179" s="671" t="s">
        <v>26</v>
      </c>
      <c r="S179" s="671"/>
      <c r="T179" s="671"/>
      <c r="U179" s="671">
        <f>'[4]NZ.Stat export'!W11</f>
        <v>5.0920141820023634E-2</v>
      </c>
      <c r="V179" s="676"/>
      <c r="W179" s="670"/>
    </row>
    <row r="180" spans="1:23" s="667" customFormat="1" ht="15.5" x14ac:dyDescent="0.35">
      <c r="A180" s="667" t="str">
        <f t="shared" si="3"/>
        <v>Scen3_5___70-79_f</v>
      </c>
      <c r="B180" s="671"/>
      <c r="C180" s="667" t="s">
        <v>386</v>
      </c>
      <c r="D180" s="671">
        <v>5</v>
      </c>
      <c r="E180" s="671" t="s">
        <v>223</v>
      </c>
      <c r="F180" s="670" t="s">
        <v>101</v>
      </c>
      <c r="G180" s="671"/>
      <c r="H180" s="667" t="str">
        <f>'MoT Travel Input'!$P$5</f>
        <v>Scenario B: metro-connected</v>
      </c>
      <c r="K180" s="671"/>
      <c r="L180" s="671"/>
      <c r="M180" s="671"/>
      <c r="N180" s="671"/>
      <c r="O180" s="671"/>
      <c r="P180" s="671"/>
      <c r="Q180" s="671" t="s">
        <v>8</v>
      </c>
      <c r="R180" s="671" t="s">
        <v>26</v>
      </c>
      <c r="S180" s="671"/>
      <c r="T180" s="671"/>
      <c r="U180" s="671">
        <f>'[4]NZ.Stat export'!W12</f>
        <v>5.2051325341887555E-2</v>
      </c>
      <c r="V180" s="676"/>
      <c r="W180" s="670"/>
    </row>
    <row r="181" spans="1:23" s="667" customFormat="1" ht="15.5" x14ac:dyDescent="0.35">
      <c r="A181" s="667" t="str">
        <f t="shared" si="3"/>
        <v>Scen3_5___80+_f</v>
      </c>
      <c r="B181" s="671"/>
      <c r="C181" s="667" t="s">
        <v>386</v>
      </c>
      <c r="D181" s="671">
        <v>5</v>
      </c>
      <c r="E181" s="671" t="s">
        <v>223</v>
      </c>
      <c r="F181" s="670" t="s">
        <v>101</v>
      </c>
      <c r="G181" s="671"/>
      <c r="H181" s="667" t="str">
        <f>'MoT Travel Input'!$P$5</f>
        <v>Scenario B: metro-connected</v>
      </c>
      <c r="K181" s="671"/>
      <c r="L181" s="671"/>
      <c r="M181" s="671"/>
      <c r="N181" s="671"/>
      <c r="O181" s="671"/>
      <c r="P181" s="671"/>
      <c r="Q181" s="671" t="s">
        <v>9</v>
      </c>
      <c r="R181" s="671" t="s">
        <v>26</v>
      </c>
      <c r="S181" s="671"/>
      <c r="T181" s="671"/>
      <c r="U181" s="671">
        <f>'[4]NZ.Stat export'!W13</f>
        <v>4.8269458044909674E-2</v>
      </c>
      <c r="V181" s="676"/>
      <c r="W181" s="670"/>
    </row>
    <row r="182" spans="1:23" s="667" customFormat="1" ht="15.5" x14ac:dyDescent="0.35">
      <c r="A182" s="667" t="str">
        <f t="shared" si="3"/>
        <v>Scen3_5___0-4_m</v>
      </c>
      <c r="B182" s="671"/>
      <c r="C182" s="667" t="s">
        <v>386</v>
      </c>
      <c r="D182" s="671">
        <v>5</v>
      </c>
      <c r="E182" s="671" t="s">
        <v>223</v>
      </c>
      <c r="F182" s="670" t="s">
        <v>101</v>
      </c>
      <c r="G182" s="671"/>
      <c r="H182" s="667" t="str">
        <f>'MoT Travel Input'!$P$5</f>
        <v>Scenario B: metro-connected</v>
      </c>
      <c r="K182" s="671"/>
      <c r="L182" s="671"/>
      <c r="M182" s="671"/>
      <c r="N182" s="671"/>
      <c r="O182" s="671"/>
      <c r="P182" s="671"/>
      <c r="Q182" s="670" t="s">
        <v>2</v>
      </c>
      <c r="R182" s="671" t="s">
        <v>25</v>
      </c>
      <c r="S182" s="671"/>
      <c r="T182" s="671"/>
      <c r="U182" s="671">
        <f>'[4]NZ.Stat export'!W14</f>
        <v>2.7519837919972985E-2</v>
      </c>
      <c r="V182" s="676"/>
      <c r="W182" s="670"/>
    </row>
    <row r="183" spans="1:23" s="667" customFormat="1" ht="15.5" x14ac:dyDescent="0.35">
      <c r="A183" s="667" t="str">
        <f t="shared" si="3"/>
        <v>Scen3_5___5-14_m</v>
      </c>
      <c r="B183" s="671"/>
      <c r="C183" s="667" t="s">
        <v>386</v>
      </c>
      <c r="D183" s="671">
        <v>5</v>
      </c>
      <c r="E183" s="671" t="s">
        <v>223</v>
      </c>
      <c r="F183" s="670" t="s">
        <v>101</v>
      </c>
      <c r="G183" s="671"/>
      <c r="H183" s="667" t="str">
        <f>'MoT Travel Input'!$P$5</f>
        <v>Scenario B: metro-connected</v>
      </c>
      <c r="K183" s="671"/>
      <c r="L183" s="671"/>
      <c r="M183" s="671"/>
      <c r="N183" s="671"/>
      <c r="O183" s="671"/>
      <c r="P183" s="671"/>
      <c r="Q183" s="677" t="s">
        <v>3</v>
      </c>
      <c r="R183" s="671" t="s">
        <v>25</v>
      </c>
      <c r="S183" s="671"/>
      <c r="T183" s="671"/>
      <c r="U183" s="671">
        <f>'[4]NZ.Stat export'!W15</f>
        <v>5.6542292757048793E-2</v>
      </c>
      <c r="V183" s="676"/>
      <c r="W183" s="670"/>
    </row>
    <row r="184" spans="1:23" s="667" customFormat="1" ht="15.5" x14ac:dyDescent="0.35">
      <c r="A184" s="667" t="str">
        <f t="shared" si="3"/>
        <v>Scen3_5___15-29_m</v>
      </c>
      <c r="B184" s="671"/>
      <c r="C184" s="667" t="s">
        <v>386</v>
      </c>
      <c r="D184" s="671">
        <v>5</v>
      </c>
      <c r="E184" s="671" t="s">
        <v>223</v>
      </c>
      <c r="F184" s="670" t="s">
        <v>101</v>
      </c>
      <c r="G184" s="671"/>
      <c r="H184" s="667" t="str">
        <f>'MoT Travel Input'!$P$5</f>
        <v>Scenario B: metro-connected</v>
      </c>
      <c r="K184" s="671"/>
      <c r="L184" s="671"/>
      <c r="M184" s="671"/>
      <c r="N184" s="671"/>
      <c r="O184" s="671"/>
      <c r="P184" s="671"/>
      <c r="Q184" s="671" t="s">
        <v>4</v>
      </c>
      <c r="R184" s="671" t="s">
        <v>25</v>
      </c>
      <c r="S184" s="671"/>
      <c r="T184" s="671"/>
      <c r="U184" s="671">
        <f>'[4]NZ.Stat export'!W16</f>
        <v>9.243626540604423E-2</v>
      </c>
      <c r="V184" s="676"/>
      <c r="W184" s="670"/>
    </row>
    <row r="185" spans="1:23" s="667" customFormat="1" ht="15.5" x14ac:dyDescent="0.35">
      <c r="A185" s="667" t="str">
        <f t="shared" si="3"/>
        <v>Scen3_5___30-44_m</v>
      </c>
      <c r="B185" s="671"/>
      <c r="C185" s="667" t="s">
        <v>386</v>
      </c>
      <c r="D185" s="671">
        <v>5</v>
      </c>
      <c r="E185" s="671" t="s">
        <v>223</v>
      </c>
      <c r="F185" s="670" t="s">
        <v>101</v>
      </c>
      <c r="G185" s="671"/>
      <c r="H185" s="667" t="str">
        <f>'MoT Travel Input'!$P$5</f>
        <v>Scenario B: metro-connected</v>
      </c>
      <c r="K185" s="671"/>
      <c r="L185" s="671"/>
      <c r="M185" s="671"/>
      <c r="N185" s="671"/>
      <c r="O185" s="671"/>
      <c r="P185" s="671"/>
      <c r="Q185" s="671" t="s">
        <v>5</v>
      </c>
      <c r="R185" s="671" t="s">
        <v>25</v>
      </c>
      <c r="S185" s="671"/>
      <c r="T185" s="671"/>
      <c r="U185" s="671">
        <f>'[4]NZ.Stat export'!W17</f>
        <v>9.5036299172716526E-2</v>
      </c>
      <c r="V185" s="676"/>
      <c r="W185" s="670"/>
    </row>
    <row r="186" spans="1:23" s="667" customFormat="1" ht="15.5" x14ac:dyDescent="0.35">
      <c r="A186" s="667" t="str">
        <f t="shared" si="3"/>
        <v>Scen3_5___45-59_m</v>
      </c>
      <c r="B186" s="671"/>
      <c r="C186" s="667" t="s">
        <v>386</v>
      </c>
      <c r="D186" s="671">
        <v>5</v>
      </c>
      <c r="E186" s="671" t="s">
        <v>223</v>
      </c>
      <c r="F186" s="670" t="s">
        <v>101</v>
      </c>
      <c r="G186" s="671"/>
      <c r="H186" s="667" t="str">
        <f>'MoT Travel Input'!$P$5</f>
        <v>Scenario B: metro-connected</v>
      </c>
      <c r="K186" s="671"/>
      <c r="L186" s="671"/>
      <c r="M186" s="671"/>
      <c r="N186" s="671"/>
      <c r="O186" s="671"/>
      <c r="P186" s="671"/>
      <c r="Q186" s="671" t="s">
        <v>6</v>
      </c>
      <c r="R186" s="671" t="s">
        <v>25</v>
      </c>
      <c r="S186" s="671"/>
      <c r="T186" s="671"/>
      <c r="U186" s="671">
        <f>'[4]NZ.Stat export'!W18</f>
        <v>9.777139962856661E-2</v>
      </c>
      <c r="V186" s="676"/>
      <c r="W186" s="670"/>
    </row>
    <row r="187" spans="1:23" s="667" customFormat="1" ht="15.5" x14ac:dyDescent="0.35">
      <c r="A187" s="667" t="str">
        <f t="shared" si="3"/>
        <v>Scen3_5___60-69_m</v>
      </c>
      <c r="B187" s="671"/>
      <c r="C187" s="667" t="s">
        <v>386</v>
      </c>
      <c r="D187" s="671">
        <v>5</v>
      </c>
      <c r="E187" s="671" t="s">
        <v>223</v>
      </c>
      <c r="F187" s="670" t="s">
        <v>101</v>
      </c>
      <c r="G187" s="671"/>
      <c r="H187" s="667" t="str">
        <f>'MoT Travel Input'!$P$5</f>
        <v>Scenario B: metro-connected</v>
      </c>
      <c r="K187" s="671"/>
      <c r="L187" s="671"/>
      <c r="M187" s="671"/>
      <c r="N187" s="671"/>
      <c r="O187" s="671"/>
      <c r="P187" s="671"/>
      <c r="Q187" s="671" t="s">
        <v>7</v>
      </c>
      <c r="R187" s="671" t="s">
        <v>25</v>
      </c>
      <c r="S187" s="671"/>
      <c r="T187" s="671"/>
      <c r="U187" s="671">
        <f>'[4]NZ.Stat export'!W19</f>
        <v>4.6749957791659635E-2</v>
      </c>
      <c r="V187" s="676"/>
      <c r="W187" s="670"/>
    </row>
    <row r="188" spans="1:23" s="667" customFormat="1" ht="15.5" x14ac:dyDescent="0.35">
      <c r="A188" s="667" t="str">
        <f t="shared" si="3"/>
        <v>Scen3_5___70-79_m</v>
      </c>
      <c r="B188" s="671"/>
      <c r="C188" s="667" t="s">
        <v>386</v>
      </c>
      <c r="D188" s="671">
        <v>5</v>
      </c>
      <c r="E188" s="671" t="s">
        <v>223</v>
      </c>
      <c r="F188" s="670" t="s">
        <v>101</v>
      </c>
      <c r="G188" s="671"/>
      <c r="H188" s="667" t="str">
        <f>'MoT Travel Input'!$P$5</f>
        <v>Scenario B: metro-connected</v>
      </c>
      <c r="K188" s="671"/>
      <c r="L188" s="671"/>
      <c r="M188" s="671"/>
      <c r="N188" s="671"/>
      <c r="O188" s="671"/>
      <c r="P188" s="671"/>
      <c r="Q188" s="671" t="s">
        <v>8</v>
      </c>
      <c r="R188" s="671" t="s">
        <v>25</v>
      </c>
      <c r="S188" s="671"/>
      <c r="T188" s="671"/>
      <c r="U188" s="671">
        <f>'[4]NZ.Stat export'!W20</f>
        <v>4.6074624345770726E-2</v>
      </c>
      <c r="V188" s="676"/>
      <c r="W188" s="670"/>
    </row>
    <row r="189" spans="1:23" s="667" customFormat="1" ht="15.5" x14ac:dyDescent="0.35">
      <c r="A189" s="667" t="str">
        <f t="shared" si="3"/>
        <v>Scen3_5___80+_m</v>
      </c>
      <c r="B189" s="671"/>
      <c r="C189" s="667" t="s">
        <v>386</v>
      </c>
      <c r="D189" s="671">
        <v>5</v>
      </c>
      <c r="E189" s="671" t="s">
        <v>223</v>
      </c>
      <c r="F189" s="670" t="s">
        <v>101</v>
      </c>
      <c r="G189" s="671"/>
      <c r="H189" s="667" t="str">
        <f>'MoT Travel Input'!$P$5</f>
        <v>Scenario B: metro-connected</v>
      </c>
      <c r="K189" s="671"/>
      <c r="L189" s="671"/>
      <c r="M189" s="671"/>
      <c r="N189" s="671"/>
      <c r="O189" s="671"/>
      <c r="P189" s="671"/>
      <c r="Q189" s="671" t="s">
        <v>9</v>
      </c>
      <c r="R189" s="671" t="s">
        <v>25</v>
      </c>
      <c r="S189" s="671"/>
      <c r="T189" s="671"/>
      <c r="U189" s="671">
        <f>'[4]NZ.Stat export'!W21</f>
        <v>3.7160222860037145E-2</v>
      </c>
      <c r="V189" s="676"/>
      <c r="W189" s="670"/>
    </row>
    <row r="190" spans="1:23" s="667" customFormat="1" ht="15.5" x14ac:dyDescent="0.35">
      <c r="A190" s="667" t="str">
        <f t="shared" si="3"/>
        <v>Scen3_2_Bike__00-04_f</v>
      </c>
      <c r="B190" s="671"/>
      <c r="C190" s="667" t="s">
        <v>386</v>
      </c>
      <c r="D190" s="671">
        <v>2</v>
      </c>
      <c r="E190" s="671" t="s">
        <v>118</v>
      </c>
      <c r="F190" s="670" t="s">
        <v>379</v>
      </c>
      <c r="G190" s="671"/>
      <c r="H190" s="667" t="str">
        <f>'MoT Travel Input'!$P$5</f>
        <v>Scenario B: metro-connected</v>
      </c>
      <c r="K190" s="671"/>
      <c r="L190" s="671" t="s">
        <v>250</v>
      </c>
      <c r="M190" s="671"/>
      <c r="N190" s="671"/>
      <c r="O190" s="671"/>
      <c r="P190" s="671"/>
      <c r="Q190" s="671" t="s">
        <v>196</v>
      </c>
      <c r="R190" s="671" t="s">
        <v>26</v>
      </c>
      <c r="S190" s="671"/>
      <c r="T190" s="671"/>
      <c r="U190" s="671"/>
      <c r="V190" s="676"/>
      <c r="W190" s="670"/>
    </row>
    <row r="191" spans="1:23" s="667" customFormat="1" ht="15.5" x14ac:dyDescent="0.35">
      <c r="A191" s="667" t="str">
        <f t="shared" si="3"/>
        <v>Scen3_2_Bike__05-14_f</v>
      </c>
      <c r="B191" s="671"/>
      <c r="C191" s="667" t="s">
        <v>386</v>
      </c>
      <c r="D191" s="671">
        <v>2</v>
      </c>
      <c r="E191" s="671" t="s">
        <v>118</v>
      </c>
      <c r="F191" s="670" t="s">
        <v>379</v>
      </c>
      <c r="G191" s="671"/>
      <c r="H191" s="667" t="str">
        <f>'MoT Travel Input'!$P$5</f>
        <v>Scenario B: metro-connected</v>
      </c>
      <c r="K191" s="671"/>
      <c r="L191" s="671" t="s">
        <v>250</v>
      </c>
      <c r="M191" s="671"/>
      <c r="N191" s="671"/>
      <c r="O191" s="671"/>
      <c r="P191" s="671"/>
      <c r="Q191" s="671" t="s">
        <v>191</v>
      </c>
      <c r="R191" s="671" t="s">
        <v>26</v>
      </c>
      <c r="S191" s="671"/>
      <c r="T191" s="671"/>
      <c r="U191" s="671"/>
      <c r="V191" s="676"/>
      <c r="W191" s="670"/>
    </row>
    <row r="192" spans="1:23" s="667" customFormat="1" ht="15.5" x14ac:dyDescent="0.35">
      <c r="A192" s="667" t="str">
        <f t="shared" si="3"/>
        <v>Scen3_2_Bike__15-29_f</v>
      </c>
      <c r="B192" s="671"/>
      <c r="C192" s="667" t="s">
        <v>386</v>
      </c>
      <c r="D192" s="671">
        <v>2</v>
      </c>
      <c r="E192" s="671" t="s">
        <v>118</v>
      </c>
      <c r="F192" s="670" t="s">
        <v>379</v>
      </c>
      <c r="G192" s="671"/>
      <c r="H192" s="667" t="str">
        <f>'MoT Travel Input'!$P$5</f>
        <v>Scenario B: metro-connected</v>
      </c>
      <c r="K192" s="671"/>
      <c r="L192" s="671" t="s">
        <v>250</v>
      </c>
      <c r="M192" s="671"/>
      <c r="N192" s="671"/>
      <c r="O192" s="671"/>
      <c r="P192" s="671"/>
      <c r="Q192" s="671" t="s">
        <v>4</v>
      </c>
      <c r="R192" s="671" t="s">
        <v>26</v>
      </c>
      <c r="S192" s="671"/>
      <c r="T192" s="671"/>
      <c r="U192" s="671"/>
      <c r="V192" s="676"/>
      <c r="W192" s="670"/>
    </row>
    <row r="193" spans="1:23" s="667" customFormat="1" ht="15.5" x14ac:dyDescent="0.35">
      <c r="A193" s="667" t="str">
        <f t="shared" si="3"/>
        <v>Scen3_2_Bike__30-44_f</v>
      </c>
      <c r="B193" s="671"/>
      <c r="C193" s="667" t="s">
        <v>386</v>
      </c>
      <c r="D193" s="671">
        <v>2</v>
      </c>
      <c r="E193" s="671" t="s">
        <v>118</v>
      </c>
      <c r="F193" s="670" t="s">
        <v>379</v>
      </c>
      <c r="G193" s="671"/>
      <c r="H193" s="667" t="str">
        <f>'MoT Travel Input'!$P$5</f>
        <v>Scenario B: metro-connected</v>
      </c>
      <c r="K193" s="671"/>
      <c r="L193" s="671" t="s">
        <v>250</v>
      </c>
      <c r="M193" s="671"/>
      <c r="N193" s="671"/>
      <c r="O193" s="671"/>
      <c r="P193" s="671"/>
      <c r="Q193" s="671" t="s">
        <v>5</v>
      </c>
      <c r="R193" s="671" t="s">
        <v>26</v>
      </c>
      <c r="S193" s="671"/>
      <c r="T193" s="671"/>
      <c r="U193" s="671"/>
      <c r="V193" s="676"/>
      <c r="W193" s="670"/>
    </row>
    <row r="194" spans="1:23" s="667" customFormat="1" ht="15.5" x14ac:dyDescent="0.35">
      <c r="A194" s="667" t="str">
        <f t="shared" si="3"/>
        <v>Scen3_2_Bike__45-59_f</v>
      </c>
      <c r="B194" s="671"/>
      <c r="C194" s="667" t="s">
        <v>386</v>
      </c>
      <c r="D194" s="671">
        <v>2</v>
      </c>
      <c r="E194" s="671" t="s">
        <v>118</v>
      </c>
      <c r="F194" s="670" t="s">
        <v>379</v>
      </c>
      <c r="G194" s="671"/>
      <c r="H194" s="667" t="str">
        <f>'MoT Travel Input'!$P$5</f>
        <v>Scenario B: metro-connected</v>
      </c>
      <c r="K194" s="671"/>
      <c r="L194" s="671" t="s">
        <v>250</v>
      </c>
      <c r="M194" s="671"/>
      <c r="N194" s="671"/>
      <c r="O194" s="671"/>
      <c r="P194" s="671"/>
      <c r="Q194" s="671" t="s">
        <v>6</v>
      </c>
      <c r="R194" s="671" t="s">
        <v>26</v>
      </c>
      <c r="S194" s="671"/>
      <c r="T194" s="671"/>
      <c r="U194" s="671"/>
      <c r="V194" s="676"/>
      <c r="W194" s="670"/>
    </row>
    <row r="195" spans="1:23" s="667" customFormat="1" ht="15.5" x14ac:dyDescent="0.35">
      <c r="A195" s="667" t="str">
        <f t="shared" si="3"/>
        <v>Scen3_2_Bike__60-69_f</v>
      </c>
      <c r="B195" s="671"/>
      <c r="C195" s="667" t="s">
        <v>386</v>
      </c>
      <c r="D195" s="671">
        <v>2</v>
      </c>
      <c r="E195" s="671" t="s">
        <v>118</v>
      </c>
      <c r="F195" s="670" t="s">
        <v>379</v>
      </c>
      <c r="G195" s="671"/>
      <c r="H195" s="667" t="str">
        <f>'MoT Travel Input'!$P$5</f>
        <v>Scenario B: metro-connected</v>
      </c>
      <c r="K195" s="671"/>
      <c r="L195" s="671" t="s">
        <v>250</v>
      </c>
      <c r="M195" s="671"/>
      <c r="N195" s="671"/>
      <c r="O195" s="671"/>
      <c r="P195" s="671"/>
      <c r="Q195" s="671" t="s">
        <v>7</v>
      </c>
      <c r="R195" s="671" t="s">
        <v>26</v>
      </c>
      <c r="S195" s="671"/>
      <c r="T195" s="671"/>
      <c r="U195" s="671"/>
      <c r="V195" s="676"/>
      <c r="W195" s="670"/>
    </row>
    <row r="196" spans="1:23" s="667" customFormat="1" ht="15.5" x14ac:dyDescent="0.35">
      <c r="A196" s="667" t="str">
        <f t="shared" si="3"/>
        <v>Scen3_2_Bike__70-79_f</v>
      </c>
      <c r="B196" s="671"/>
      <c r="C196" s="667" t="s">
        <v>386</v>
      </c>
      <c r="D196" s="671">
        <v>2</v>
      </c>
      <c r="E196" s="671" t="s">
        <v>118</v>
      </c>
      <c r="F196" s="670" t="s">
        <v>379</v>
      </c>
      <c r="G196" s="671"/>
      <c r="H196" s="667" t="str">
        <f>'MoT Travel Input'!$P$5</f>
        <v>Scenario B: metro-connected</v>
      </c>
      <c r="K196" s="671"/>
      <c r="L196" s="671" t="s">
        <v>250</v>
      </c>
      <c r="M196" s="671"/>
      <c r="N196" s="671"/>
      <c r="O196" s="671"/>
      <c r="P196" s="671"/>
      <c r="Q196" s="671" t="s">
        <v>8</v>
      </c>
      <c r="R196" s="671" t="s">
        <v>26</v>
      </c>
      <c r="S196" s="671"/>
      <c r="T196" s="671"/>
      <c r="U196" s="671"/>
      <c r="V196" s="676"/>
      <c r="W196" s="670"/>
    </row>
    <row r="197" spans="1:23" s="667" customFormat="1" ht="15.5" x14ac:dyDescent="0.35">
      <c r="A197" s="667" t="str">
        <f t="shared" si="3"/>
        <v>Scen3_2_Bike__80+_f</v>
      </c>
      <c r="B197" s="671"/>
      <c r="C197" s="667" t="s">
        <v>386</v>
      </c>
      <c r="D197" s="671">
        <v>2</v>
      </c>
      <c r="E197" s="671" t="s">
        <v>118</v>
      </c>
      <c r="F197" s="670" t="s">
        <v>379</v>
      </c>
      <c r="G197" s="671"/>
      <c r="H197" s="667" t="str">
        <f>'MoT Travel Input'!$P$5</f>
        <v>Scenario B: metro-connected</v>
      </c>
      <c r="K197" s="671"/>
      <c r="L197" s="671" t="s">
        <v>250</v>
      </c>
      <c r="M197" s="671"/>
      <c r="N197" s="671"/>
      <c r="O197" s="671"/>
      <c r="P197" s="671"/>
      <c r="Q197" s="671" t="s">
        <v>9</v>
      </c>
      <c r="R197" s="671" t="s">
        <v>26</v>
      </c>
      <c r="S197" s="671"/>
      <c r="T197" s="671"/>
      <c r="U197" s="671"/>
      <c r="V197" s="676"/>
      <c r="W197" s="670"/>
    </row>
    <row r="198" spans="1:23" s="667" customFormat="1" ht="15.5" x14ac:dyDescent="0.35">
      <c r="A198" s="667" t="str">
        <f t="shared" si="3"/>
        <v>Scen3_2_Bike__00-04_m</v>
      </c>
      <c r="B198" s="671"/>
      <c r="C198" s="667" t="s">
        <v>386</v>
      </c>
      <c r="D198" s="671">
        <v>2</v>
      </c>
      <c r="E198" s="671" t="s">
        <v>118</v>
      </c>
      <c r="F198" s="670" t="s">
        <v>379</v>
      </c>
      <c r="G198" s="671"/>
      <c r="H198" s="667" t="str">
        <f>'MoT Travel Input'!$P$5</f>
        <v>Scenario B: metro-connected</v>
      </c>
      <c r="K198" s="671"/>
      <c r="L198" s="671" t="s">
        <v>250</v>
      </c>
      <c r="M198" s="671"/>
      <c r="N198" s="671"/>
      <c r="O198" s="671"/>
      <c r="P198" s="671"/>
      <c r="Q198" s="671" t="s">
        <v>196</v>
      </c>
      <c r="R198" s="671" t="s">
        <v>25</v>
      </c>
      <c r="S198" s="671"/>
      <c r="T198" s="671"/>
      <c r="U198" s="671"/>
      <c r="V198" s="676"/>
      <c r="W198" s="670"/>
    </row>
    <row r="199" spans="1:23" s="667" customFormat="1" ht="15.5" x14ac:dyDescent="0.35">
      <c r="A199" s="667" t="str">
        <f t="shared" si="3"/>
        <v>Scen3_2_Bike__05-14_m</v>
      </c>
      <c r="B199" s="671"/>
      <c r="C199" s="667" t="s">
        <v>386</v>
      </c>
      <c r="D199" s="671">
        <v>2</v>
      </c>
      <c r="E199" s="671" t="s">
        <v>118</v>
      </c>
      <c r="F199" s="670" t="s">
        <v>379</v>
      </c>
      <c r="G199" s="671"/>
      <c r="H199" s="667" t="str">
        <f>'MoT Travel Input'!$P$5</f>
        <v>Scenario B: metro-connected</v>
      </c>
      <c r="K199" s="671"/>
      <c r="L199" s="671" t="s">
        <v>250</v>
      </c>
      <c r="M199" s="671"/>
      <c r="N199" s="671"/>
      <c r="O199" s="671"/>
      <c r="P199" s="671"/>
      <c r="Q199" s="671" t="s">
        <v>191</v>
      </c>
      <c r="R199" s="671" t="s">
        <v>25</v>
      </c>
      <c r="S199" s="671"/>
      <c r="T199" s="671"/>
      <c r="U199" s="671"/>
      <c r="V199" s="676"/>
      <c r="W199" s="670"/>
    </row>
    <row r="200" spans="1:23" s="667" customFormat="1" ht="15.5" x14ac:dyDescent="0.35">
      <c r="A200" s="667" t="str">
        <f t="shared" si="3"/>
        <v>Scen3_2_Bike__15-29_m</v>
      </c>
      <c r="B200" s="671"/>
      <c r="C200" s="667" t="s">
        <v>386</v>
      </c>
      <c r="D200" s="671">
        <v>2</v>
      </c>
      <c r="E200" s="671" t="s">
        <v>118</v>
      </c>
      <c r="F200" s="670" t="s">
        <v>379</v>
      </c>
      <c r="G200" s="671"/>
      <c r="H200" s="667" t="str">
        <f>'MoT Travel Input'!$P$5</f>
        <v>Scenario B: metro-connected</v>
      </c>
      <c r="K200" s="671"/>
      <c r="L200" s="671" t="s">
        <v>250</v>
      </c>
      <c r="M200" s="671"/>
      <c r="N200" s="671"/>
      <c r="O200" s="671"/>
      <c r="P200" s="671"/>
      <c r="Q200" s="671" t="s">
        <v>4</v>
      </c>
      <c r="R200" s="671" t="s">
        <v>25</v>
      </c>
      <c r="S200" s="671"/>
      <c r="T200" s="671"/>
      <c r="U200" s="671"/>
      <c r="V200" s="676"/>
      <c r="W200" s="670"/>
    </row>
    <row r="201" spans="1:23" s="667" customFormat="1" ht="15.5" x14ac:dyDescent="0.35">
      <c r="A201" s="667" t="str">
        <f t="shared" si="3"/>
        <v>Scen3_2_Bike__30-44_m</v>
      </c>
      <c r="B201" s="671"/>
      <c r="C201" s="667" t="s">
        <v>386</v>
      </c>
      <c r="D201" s="671">
        <v>2</v>
      </c>
      <c r="E201" s="671" t="s">
        <v>118</v>
      </c>
      <c r="F201" s="670" t="s">
        <v>379</v>
      </c>
      <c r="G201" s="671"/>
      <c r="H201" s="667" t="str">
        <f>'MoT Travel Input'!$P$5</f>
        <v>Scenario B: metro-connected</v>
      </c>
      <c r="K201" s="671"/>
      <c r="L201" s="671" t="s">
        <v>250</v>
      </c>
      <c r="M201" s="671"/>
      <c r="N201" s="671"/>
      <c r="O201" s="671"/>
      <c r="P201" s="671"/>
      <c r="Q201" s="671" t="s">
        <v>5</v>
      </c>
      <c r="R201" s="671" t="s">
        <v>25</v>
      </c>
      <c r="S201" s="671"/>
      <c r="T201" s="671"/>
      <c r="U201" s="671"/>
      <c r="V201" s="676"/>
      <c r="W201" s="670"/>
    </row>
    <row r="202" spans="1:23" s="667" customFormat="1" ht="15.5" x14ac:dyDescent="0.35">
      <c r="A202" s="667" t="str">
        <f t="shared" si="3"/>
        <v>Scen3_2_Bike__45-59_m</v>
      </c>
      <c r="B202" s="671"/>
      <c r="C202" s="667" t="s">
        <v>386</v>
      </c>
      <c r="D202" s="671">
        <v>2</v>
      </c>
      <c r="E202" s="671" t="s">
        <v>118</v>
      </c>
      <c r="F202" s="670" t="s">
        <v>379</v>
      </c>
      <c r="G202" s="671"/>
      <c r="H202" s="667" t="str">
        <f>'MoT Travel Input'!$P$5</f>
        <v>Scenario B: metro-connected</v>
      </c>
      <c r="K202" s="671"/>
      <c r="L202" s="671" t="s">
        <v>250</v>
      </c>
      <c r="M202" s="671"/>
      <c r="N202" s="671"/>
      <c r="O202" s="671"/>
      <c r="P202" s="671"/>
      <c r="Q202" s="671" t="s">
        <v>6</v>
      </c>
      <c r="R202" s="671" t="s">
        <v>25</v>
      </c>
      <c r="S202" s="671"/>
      <c r="T202" s="671"/>
      <c r="U202" s="671"/>
      <c r="V202" s="676"/>
      <c r="W202" s="670"/>
    </row>
    <row r="203" spans="1:23" s="667" customFormat="1" ht="15.5" x14ac:dyDescent="0.35">
      <c r="A203" s="667" t="str">
        <f t="shared" si="3"/>
        <v>Scen3_2_Bike__60-69_m</v>
      </c>
      <c r="B203" s="671"/>
      <c r="C203" s="667" t="s">
        <v>386</v>
      </c>
      <c r="D203" s="671">
        <v>2</v>
      </c>
      <c r="E203" s="671" t="s">
        <v>118</v>
      </c>
      <c r="F203" s="670" t="s">
        <v>379</v>
      </c>
      <c r="G203" s="671"/>
      <c r="H203" s="667" t="str">
        <f>'MoT Travel Input'!$P$5</f>
        <v>Scenario B: metro-connected</v>
      </c>
      <c r="K203" s="671"/>
      <c r="L203" s="671" t="s">
        <v>250</v>
      </c>
      <c r="M203" s="671"/>
      <c r="N203" s="671"/>
      <c r="O203" s="671"/>
      <c r="P203" s="671"/>
      <c r="Q203" s="671" t="s">
        <v>7</v>
      </c>
      <c r="R203" s="671" t="s">
        <v>25</v>
      </c>
      <c r="S203" s="671"/>
      <c r="T203" s="671"/>
      <c r="U203" s="671"/>
      <c r="V203" s="676"/>
      <c r="W203" s="670"/>
    </row>
    <row r="204" spans="1:23" s="667" customFormat="1" ht="15.5" x14ac:dyDescent="0.35">
      <c r="A204" s="667" t="str">
        <f t="shared" si="3"/>
        <v>Scen3_2_Bike__70-79_m</v>
      </c>
      <c r="B204" s="671"/>
      <c r="C204" s="667" t="s">
        <v>386</v>
      </c>
      <c r="D204" s="671">
        <v>2</v>
      </c>
      <c r="E204" s="671" t="s">
        <v>118</v>
      </c>
      <c r="F204" s="670" t="s">
        <v>379</v>
      </c>
      <c r="G204" s="671"/>
      <c r="H204" s="667" t="str">
        <f>'MoT Travel Input'!$P$5</f>
        <v>Scenario B: metro-connected</v>
      </c>
      <c r="K204" s="671"/>
      <c r="L204" s="671" t="s">
        <v>250</v>
      </c>
      <c r="M204" s="671"/>
      <c r="N204" s="671"/>
      <c r="O204" s="671"/>
      <c r="P204" s="671"/>
      <c r="Q204" s="671" t="s">
        <v>8</v>
      </c>
      <c r="R204" s="671" t="s">
        <v>25</v>
      </c>
      <c r="S204" s="671"/>
      <c r="T204" s="671"/>
      <c r="U204" s="671"/>
      <c r="V204" s="676"/>
      <c r="W204" s="670"/>
    </row>
    <row r="205" spans="1:23" s="667" customFormat="1" ht="15.5" x14ac:dyDescent="0.35">
      <c r="A205" s="667" t="str">
        <f t="shared" si="3"/>
        <v>Scen3_2_Bike__80+_m</v>
      </c>
      <c r="B205" s="671"/>
      <c r="C205" s="667" t="s">
        <v>386</v>
      </c>
      <c r="D205" s="671">
        <v>2</v>
      </c>
      <c r="E205" s="671" t="s">
        <v>118</v>
      </c>
      <c r="F205" s="670" t="s">
        <v>379</v>
      </c>
      <c r="G205" s="671"/>
      <c r="H205" s="667" t="str">
        <f>'MoT Travel Input'!$P$5</f>
        <v>Scenario B: metro-connected</v>
      </c>
      <c r="K205" s="671"/>
      <c r="L205" s="671" t="s">
        <v>250</v>
      </c>
      <c r="M205" s="671"/>
      <c r="N205" s="671"/>
      <c r="O205" s="671"/>
      <c r="P205" s="671"/>
      <c r="Q205" s="671" t="s">
        <v>9</v>
      </c>
      <c r="R205" s="671" t="s">
        <v>25</v>
      </c>
      <c r="S205" s="671"/>
      <c r="T205" s="671"/>
      <c r="U205" s="671"/>
      <c r="V205" s="676"/>
      <c r="W205" s="670"/>
    </row>
    <row r="206" spans="1:23" s="667" customFormat="1" ht="15.5" x14ac:dyDescent="0.35">
      <c r="A206" s="667" t="str">
        <f t="shared" si="3"/>
        <v>Scen3_2_Walk__00-04_f</v>
      </c>
      <c r="B206" s="671"/>
      <c r="C206" s="667" t="s">
        <v>386</v>
      </c>
      <c r="D206" s="671">
        <v>2</v>
      </c>
      <c r="E206" s="671" t="s">
        <v>118</v>
      </c>
      <c r="F206" s="670" t="s">
        <v>379</v>
      </c>
      <c r="G206" s="671"/>
      <c r="H206" s="667" t="str">
        <f>'MoT Travel Input'!$P$5</f>
        <v>Scenario B: metro-connected</v>
      </c>
      <c r="K206" s="671"/>
      <c r="L206" s="671" t="s">
        <v>249</v>
      </c>
      <c r="M206" s="671"/>
      <c r="N206" s="671"/>
      <c r="O206" s="671"/>
      <c r="P206" s="671"/>
      <c r="Q206" s="671" t="s">
        <v>196</v>
      </c>
      <c r="R206" s="671" t="s">
        <v>26</v>
      </c>
      <c r="S206" s="671"/>
      <c r="T206" s="671"/>
      <c r="U206" s="671"/>
      <c r="V206" s="676"/>
      <c r="W206" s="670"/>
    </row>
    <row r="207" spans="1:23" s="667" customFormat="1" ht="15.5" x14ac:dyDescent="0.35">
      <c r="A207" s="667" t="str">
        <f t="shared" si="3"/>
        <v>Scen3_2_Walk__05-14_f</v>
      </c>
      <c r="B207" s="671"/>
      <c r="C207" s="667" t="s">
        <v>386</v>
      </c>
      <c r="D207" s="671">
        <v>2</v>
      </c>
      <c r="E207" s="671" t="s">
        <v>118</v>
      </c>
      <c r="F207" s="670" t="s">
        <v>379</v>
      </c>
      <c r="G207" s="671"/>
      <c r="H207" s="667" t="str">
        <f>'MoT Travel Input'!$P$5</f>
        <v>Scenario B: metro-connected</v>
      </c>
      <c r="K207" s="671"/>
      <c r="L207" s="671" t="s">
        <v>249</v>
      </c>
      <c r="M207" s="671"/>
      <c r="N207" s="671"/>
      <c r="O207" s="671"/>
      <c r="P207" s="671"/>
      <c r="Q207" s="671" t="s">
        <v>191</v>
      </c>
      <c r="R207" s="671" t="s">
        <v>26</v>
      </c>
      <c r="S207" s="671"/>
      <c r="T207" s="671"/>
      <c r="U207" s="671"/>
      <c r="V207" s="676"/>
      <c r="W207" s="670"/>
    </row>
    <row r="208" spans="1:23" s="667" customFormat="1" ht="15.5" x14ac:dyDescent="0.35">
      <c r="A208" s="667" t="str">
        <f t="shared" si="3"/>
        <v>Scen3_2_Walk__15-29_f</v>
      </c>
      <c r="B208" s="671"/>
      <c r="C208" s="667" t="s">
        <v>386</v>
      </c>
      <c r="D208" s="671">
        <v>2</v>
      </c>
      <c r="E208" s="671" t="s">
        <v>118</v>
      </c>
      <c r="F208" s="670" t="s">
        <v>379</v>
      </c>
      <c r="G208" s="671"/>
      <c r="H208" s="667" t="str">
        <f>'MoT Travel Input'!$P$5</f>
        <v>Scenario B: metro-connected</v>
      </c>
      <c r="K208" s="671"/>
      <c r="L208" s="671" t="s">
        <v>249</v>
      </c>
      <c r="M208" s="671"/>
      <c r="N208" s="671"/>
      <c r="O208" s="671"/>
      <c r="P208" s="671"/>
      <c r="Q208" s="671" t="s">
        <v>4</v>
      </c>
      <c r="R208" s="671" t="s">
        <v>26</v>
      </c>
      <c r="S208" s="671"/>
      <c r="T208" s="671"/>
      <c r="U208" s="671"/>
      <c r="V208" s="676"/>
      <c r="W208" s="670"/>
    </row>
    <row r="209" spans="1:23" s="667" customFormat="1" ht="15.5" x14ac:dyDescent="0.35">
      <c r="A209" s="667" t="str">
        <f t="shared" si="3"/>
        <v>Scen3_2_Walk__30-44_f</v>
      </c>
      <c r="B209" s="671"/>
      <c r="C209" s="667" t="s">
        <v>386</v>
      </c>
      <c r="D209" s="671">
        <v>2</v>
      </c>
      <c r="E209" s="671" t="s">
        <v>118</v>
      </c>
      <c r="F209" s="670" t="s">
        <v>379</v>
      </c>
      <c r="G209" s="671"/>
      <c r="H209" s="667" t="str">
        <f>'MoT Travel Input'!$P$5</f>
        <v>Scenario B: metro-connected</v>
      </c>
      <c r="K209" s="671"/>
      <c r="L209" s="671" t="s">
        <v>249</v>
      </c>
      <c r="M209" s="671"/>
      <c r="N209" s="671"/>
      <c r="O209" s="671"/>
      <c r="P209" s="671"/>
      <c r="Q209" s="671" t="s">
        <v>5</v>
      </c>
      <c r="R209" s="671" t="s">
        <v>26</v>
      </c>
      <c r="S209" s="671"/>
      <c r="T209" s="671"/>
      <c r="U209" s="671"/>
      <c r="V209" s="676"/>
      <c r="W209" s="670"/>
    </row>
    <row r="210" spans="1:23" s="667" customFormat="1" ht="15.5" x14ac:dyDescent="0.35">
      <c r="A210" s="667" t="str">
        <f t="shared" si="3"/>
        <v>Scen3_2_Walk__45-59_f</v>
      </c>
      <c r="B210" s="671"/>
      <c r="C210" s="667" t="s">
        <v>386</v>
      </c>
      <c r="D210" s="671">
        <v>2</v>
      </c>
      <c r="E210" s="671" t="s">
        <v>118</v>
      </c>
      <c r="F210" s="670" t="s">
        <v>379</v>
      </c>
      <c r="G210" s="671"/>
      <c r="H210" s="667" t="str">
        <f>'MoT Travel Input'!$P$5</f>
        <v>Scenario B: metro-connected</v>
      </c>
      <c r="K210" s="671"/>
      <c r="L210" s="671" t="s">
        <v>249</v>
      </c>
      <c r="M210" s="671"/>
      <c r="N210" s="671"/>
      <c r="O210" s="671"/>
      <c r="P210" s="671"/>
      <c r="Q210" s="671" t="s">
        <v>6</v>
      </c>
      <c r="R210" s="671" t="s">
        <v>26</v>
      </c>
      <c r="S210" s="671"/>
      <c r="T210" s="671"/>
      <c r="U210" s="671"/>
      <c r="V210" s="676"/>
      <c r="W210" s="670"/>
    </row>
    <row r="211" spans="1:23" s="667" customFormat="1" ht="15.5" x14ac:dyDescent="0.35">
      <c r="A211" s="667" t="str">
        <f t="shared" si="3"/>
        <v>Scen3_2_Walk__60-69_f</v>
      </c>
      <c r="B211" s="671"/>
      <c r="C211" s="667" t="s">
        <v>386</v>
      </c>
      <c r="D211" s="671">
        <v>2</v>
      </c>
      <c r="E211" s="671" t="s">
        <v>118</v>
      </c>
      <c r="F211" s="670" t="s">
        <v>379</v>
      </c>
      <c r="G211" s="671"/>
      <c r="H211" s="667" t="str">
        <f>'MoT Travel Input'!$P$5</f>
        <v>Scenario B: metro-connected</v>
      </c>
      <c r="K211" s="671"/>
      <c r="L211" s="671" t="s">
        <v>249</v>
      </c>
      <c r="M211" s="671"/>
      <c r="N211" s="671"/>
      <c r="O211" s="671"/>
      <c r="P211" s="671"/>
      <c r="Q211" s="671" t="s">
        <v>7</v>
      </c>
      <c r="R211" s="671" t="s">
        <v>26</v>
      </c>
      <c r="S211" s="671"/>
      <c r="T211" s="671"/>
      <c r="U211" s="671"/>
      <c r="V211" s="676"/>
      <c r="W211" s="670"/>
    </row>
    <row r="212" spans="1:23" s="667" customFormat="1" ht="15.5" x14ac:dyDescent="0.35">
      <c r="A212" s="667" t="str">
        <f t="shared" si="3"/>
        <v>Scen3_2_Walk__70-79_f</v>
      </c>
      <c r="B212" s="671"/>
      <c r="C212" s="667" t="s">
        <v>386</v>
      </c>
      <c r="D212" s="671">
        <v>2</v>
      </c>
      <c r="E212" s="671" t="s">
        <v>118</v>
      </c>
      <c r="F212" s="670" t="s">
        <v>379</v>
      </c>
      <c r="G212" s="671"/>
      <c r="H212" s="667" t="str">
        <f>'MoT Travel Input'!$P$5</f>
        <v>Scenario B: metro-connected</v>
      </c>
      <c r="K212" s="671"/>
      <c r="L212" s="671" t="s">
        <v>249</v>
      </c>
      <c r="M212" s="671"/>
      <c r="N212" s="671"/>
      <c r="O212" s="671"/>
      <c r="P212" s="671"/>
      <c r="Q212" s="671" t="s">
        <v>8</v>
      </c>
      <c r="R212" s="671" t="s">
        <v>26</v>
      </c>
      <c r="S212" s="671"/>
      <c r="T212" s="671"/>
      <c r="U212" s="671"/>
      <c r="V212" s="676"/>
      <c r="W212" s="670"/>
    </row>
    <row r="213" spans="1:23" s="667" customFormat="1" ht="15.5" x14ac:dyDescent="0.35">
      <c r="A213" s="667" t="str">
        <f t="shared" si="3"/>
        <v>Scen3_2_Walk__80+_f</v>
      </c>
      <c r="B213" s="671"/>
      <c r="C213" s="667" t="s">
        <v>386</v>
      </c>
      <c r="D213" s="671">
        <v>2</v>
      </c>
      <c r="E213" s="671" t="s">
        <v>118</v>
      </c>
      <c r="F213" s="670" t="s">
        <v>379</v>
      </c>
      <c r="G213" s="671"/>
      <c r="H213" s="667" t="str">
        <f>'MoT Travel Input'!$P$5</f>
        <v>Scenario B: metro-connected</v>
      </c>
      <c r="K213" s="671"/>
      <c r="L213" s="671" t="s">
        <v>249</v>
      </c>
      <c r="M213" s="671"/>
      <c r="N213" s="671"/>
      <c r="O213" s="671"/>
      <c r="P213" s="671"/>
      <c r="Q213" s="671" t="s">
        <v>9</v>
      </c>
      <c r="R213" s="671" t="s">
        <v>26</v>
      </c>
      <c r="S213" s="671"/>
      <c r="T213" s="671"/>
      <c r="U213" s="671"/>
      <c r="V213" s="676"/>
      <c r="W213" s="670"/>
    </row>
    <row r="214" spans="1:23" s="667" customFormat="1" ht="15.5" x14ac:dyDescent="0.35">
      <c r="A214" s="667" t="str">
        <f t="shared" si="3"/>
        <v>Scen3_2_Walk__00-04_m</v>
      </c>
      <c r="B214" s="671"/>
      <c r="C214" s="667" t="s">
        <v>386</v>
      </c>
      <c r="D214" s="671">
        <v>2</v>
      </c>
      <c r="E214" s="671" t="s">
        <v>118</v>
      </c>
      <c r="F214" s="670" t="s">
        <v>379</v>
      </c>
      <c r="G214" s="671"/>
      <c r="H214" s="667" t="str">
        <f>'MoT Travel Input'!$P$5</f>
        <v>Scenario B: metro-connected</v>
      </c>
      <c r="K214" s="671"/>
      <c r="L214" s="671" t="s">
        <v>249</v>
      </c>
      <c r="M214" s="671"/>
      <c r="N214" s="671"/>
      <c r="O214" s="671"/>
      <c r="P214" s="671"/>
      <c r="Q214" s="671" t="s">
        <v>196</v>
      </c>
      <c r="R214" s="671" t="s">
        <v>25</v>
      </c>
      <c r="S214" s="671"/>
      <c r="T214" s="671"/>
      <c r="U214" s="671"/>
      <c r="V214" s="676"/>
      <c r="W214" s="670"/>
    </row>
    <row r="215" spans="1:23" s="667" customFormat="1" ht="15.5" x14ac:dyDescent="0.35">
      <c r="A215" s="667" t="str">
        <f t="shared" si="3"/>
        <v>Scen3_2_Walk__05-14_m</v>
      </c>
      <c r="B215" s="671"/>
      <c r="C215" s="667" t="s">
        <v>386</v>
      </c>
      <c r="D215" s="671">
        <v>2</v>
      </c>
      <c r="E215" s="671" t="s">
        <v>118</v>
      </c>
      <c r="F215" s="670" t="s">
        <v>379</v>
      </c>
      <c r="G215" s="671"/>
      <c r="H215" s="667" t="str">
        <f>'MoT Travel Input'!$P$5</f>
        <v>Scenario B: metro-connected</v>
      </c>
      <c r="K215" s="671"/>
      <c r="L215" s="671" t="s">
        <v>249</v>
      </c>
      <c r="M215" s="671"/>
      <c r="N215" s="671"/>
      <c r="O215" s="671"/>
      <c r="P215" s="671"/>
      <c r="Q215" s="671" t="s">
        <v>191</v>
      </c>
      <c r="R215" s="671" t="s">
        <v>25</v>
      </c>
      <c r="S215" s="671"/>
      <c r="T215" s="671"/>
      <c r="U215" s="671"/>
      <c r="V215" s="676"/>
      <c r="W215" s="670"/>
    </row>
    <row r="216" spans="1:23" s="667" customFormat="1" ht="15.5" x14ac:dyDescent="0.35">
      <c r="A216" s="667" t="str">
        <f t="shared" si="3"/>
        <v>Scen3_2_Walk__15-29_m</v>
      </c>
      <c r="B216" s="671"/>
      <c r="C216" s="667" t="s">
        <v>386</v>
      </c>
      <c r="D216" s="671">
        <v>2</v>
      </c>
      <c r="E216" s="671" t="s">
        <v>118</v>
      </c>
      <c r="F216" s="670" t="s">
        <v>379</v>
      </c>
      <c r="G216" s="671"/>
      <c r="H216" s="667" t="str">
        <f>'MoT Travel Input'!$P$5</f>
        <v>Scenario B: metro-connected</v>
      </c>
      <c r="K216" s="671"/>
      <c r="L216" s="671" t="s">
        <v>249</v>
      </c>
      <c r="M216" s="671"/>
      <c r="N216" s="671"/>
      <c r="O216" s="671"/>
      <c r="P216" s="671"/>
      <c r="Q216" s="671" t="s">
        <v>4</v>
      </c>
      <c r="R216" s="671" t="s">
        <v>25</v>
      </c>
      <c r="S216" s="671"/>
      <c r="T216" s="671"/>
      <c r="U216" s="671"/>
      <c r="V216" s="676"/>
      <c r="W216" s="670"/>
    </row>
    <row r="217" spans="1:23" s="667" customFormat="1" ht="15.5" x14ac:dyDescent="0.35">
      <c r="A217" s="667" t="str">
        <f t="shared" si="3"/>
        <v>Scen3_2_Walk__30-44_m</v>
      </c>
      <c r="B217" s="671"/>
      <c r="C217" s="667" t="s">
        <v>386</v>
      </c>
      <c r="D217" s="671">
        <v>2</v>
      </c>
      <c r="E217" s="671" t="s">
        <v>118</v>
      </c>
      <c r="F217" s="670" t="s">
        <v>379</v>
      </c>
      <c r="G217" s="671"/>
      <c r="H217" s="667" t="str">
        <f>'MoT Travel Input'!$P$5</f>
        <v>Scenario B: metro-connected</v>
      </c>
      <c r="K217" s="671"/>
      <c r="L217" s="671" t="s">
        <v>249</v>
      </c>
      <c r="M217" s="671"/>
      <c r="N217" s="671"/>
      <c r="O217" s="671"/>
      <c r="P217" s="671"/>
      <c r="Q217" s="671" t="s">
        <v>5</v>
      </c>
      <c r="R217" s="671" t="s">
        <v>25</v>
      </c>
      <c r="S217" s="671"/>
      <c r="T217" s="671"/>
      <c r="U217" s="671"/>
      <c r="V217" s="676"/>
      <c r="W217" s="670"/>
    </row>
    <row r="218" spans="1:23" s="667" customFormat="1" ht="15.5" x14ac:dyDescent="0.35">
      <c r="A218" s="667" t="str">
        <f t="shared" si="3"/>
        <v>Scen3_2_Walk__45-59_m</v>
      </c>
      <c r="B218" s="671"/>
      <c r="C218" s="667" t="s">
        <v>386</v>
      </c>
      <c r="D218" s="671">
        <v>2</v>
      </c>
      <c r="E218" s="671" t="s">
        <v>118</v>
      </c>
      <c r="F218" s="670" t="s">
        <v>379</v>
      </c>
      <c r="G218" s="671"/>
      <c r="H218" s="667" t="str">
        <f>'MoT Travel Input'!$P$5</f>
        <v>Scenario B: metro-connected</v>
      </c>
      <c r="K218" s="671"/>
      <c r="L218" s="671" t="s">
        <v>249</v>
      </c>
      <c r="M218" s="671"/>
      <c r="N218" s="671"/>
      <c r="O218" s="671"/>
      <c r="P218" s="671"/>
      <c r="Q218" s="671" t="s">
        <v>6</v>
      </c>
      <c r="R218" s="671" t="s">
        <v>25</v>
      </c>
      <c r="S218" s="671"/>
      <c r="T218" s="671"/>
      <c r="U218" s="671"/>
      <c r="V218" s="676"/>
      <c r="W218" s="670"/>
    </row>
    <row r="219" spans="1:23" s="667" customFormat="1" ht="15.5" x14ac:dyDescent="0.35">
      <c r="A219" s="667" t="str">
        <f t="shared" si="3"/>
        <v>Scen3_2_Walk__60-69_m</v>
      </c>
      <c r="B219" s="671"/>
      <c r="C219" s="667" t="s">
        <v>386</v>
      </c>
      <c r="D219" s="671">
        <v>2</v>
      </c>
      <c r="E219" s="671" t="s">
        <v>118</v>
      </c>
      <c r="F219" s="670" t="s">
        <v>379</v>
      </c>
      <c r="G219" s="671"/>
      <c r="H219" s="667" t="str">
        <f>'MoT Travel Input'!$P$5</f>
        <v>Scenario B: metro-connected</v>
      </c>
      <c r="K219" s="671"/>
      <c r="L219" s="671" t="s">
        <v>249</v>
      </c>
      <c r="M219" s="671"/>
      <c r="N219" s="671"/>
      <c r="O219" s="671"/>
      <c r="P219" s="671"/>
      <c r="Q219" s="671" t="s">
        <v>7</v>
      </c>
      <c r="R219" s="671" t="s">
        <v>25</v>
      </c>
      <c r="S219" s="671"/>
      <c r="T219" s="671"/>
      <c r="U219" s="671"/>
      <c r="V219" s="676"/>
      <c r="W219" s="670"/>
    </row>
    <row r="220" spans="1:23" s="667" customFormat="1" ht="15.5" x14ac:dyDescent="0.35">
      <c r="A220" s="667" t="str">
        <f t="shared" si="3"/>
        <v>Scen3_2_Walk__70-79_m</v>
      </c>
      <c r="B220" s="671"/>
      <c r="C220" s="667" t="s">
        <v>386</v>
      </c>
      <c r="D220" s="671">
        <v>2</v>
      </c>
      <c r="E220" s="671" t="s">
        <v>118</v>
      </c>
      <c r="F220" s="670" t="s">
        <v>379</v>
      </c>
      <c r="G220" s="671"/>
      <c r="H220" s="667" t="str">
        <f>'MoT Travel Input'!$P$5</f>
        <v>Scenario B: metro-connected</v>
      </c>
      <c r="K220" s="671"/>
      <c r="L220" s="671" t="s">
        <v>249</v>
      </c>
      <c r="M220" s="671"/>
      <c r="N220" s="671"/>
      <c r="O220" s="671"/>
      <c r="P220" s="671"/>
      <c r="Q220" s="671" t="s">
        <v>8</v>
      </c>
      <c r="R220" s="671" t="s">
        <v>25</v>
      </c>
      <c r="S220" s="671"/>
      <c r="T220" s="671"/>
      <c r="U220" s="671"/>
      <c r="V220" s="676"/>
      <c r="W220" s="670"/>
    </row>
    <row r="221" spans="1:23" s="667" customFormat="1" ht="15.5" x14ac:dyDescent="0.35">
      <c r="A221" s="667" t="str">
        <f t="shared" si="3"/>
        <v>Scen3_2_Walk__80+_m</v>
      </c>
      <c r="B221" s="671"/>
      <c r="C221" s="667" t="s">
        <v>386</v>
      </c>
      <c r="D221" s="671">
        <v>2</v>
      </c>
      <c r="E221" s="671" t="s">
        <v>118</v>
      </c>
      <c r="F221" s="670" t="s">
        <v>379</v>
      </c>
      <c r="G221" s="671"/>
      <c r="H221" s="667" t="str">
        <f>'MoT Travel Input'!$P$5</f>
        <v>Scenario B: metro-connected</v>
      </c>
      <c r="K221" s="671"/>
      <c r="L221" s="671" t="s">
        <v>249</v>
      </c>
      <c r="M221" s="671"/>
      <c r="N221" s="671"/>
      <c r="O221" s="671"/>
      <c r="P221" s="671"/>
      <c r="Q221" s="671" t="s">
        <v>9</v>
      </c>
      <c r="R221" s="671" t="s">
        <v>25</v>
      </c>
      <c r="S221" s="671"/>
      <c r="T221" s="671"/>
      <c r="U221" s="671"/>
      <c r="V221" s="676"/>
      <c r="W221" s="670"/>
    </row>
    <row r="222" spans="1:23" s="716" customFormat="1" ht="15.5" x14ac:dyDescent="0.35">
      <c r="A222" s="712" t="str">
        <f t="shared" ref="A222:A288" si="4">C222&amp;"_"&amp;D222&amp;"_"&amp;L222&amp;"_"&amp;O222&amp;"_"&amp;Q222&amp;"_"&amp;R222</f>
        <v>Scen4_1_walk___</v>
      </c>
      <c r="B222" s="712"/>
      <c r="C222" s="712" t="s">
        <v>405</v>
      </c>
      <c r="D222" s="712">
        <v>1</v>
      </c>
      <c r="E222" s="712" t="s">
        <v>255</v>
      </c>
      <c r="F222" s="712" t="s">
        <v>256</v>
      </c>
      <c r="G222" s="712"/>
      <c r="H222" s="712" t="str">
        <f>'MoT Travel Input'!$P$6</f>
        <v>Scenario C: the golden triangle</v>
      </c>
      <c r="I222" s="712"/>
      <c r="J222" s="712"/>
      <c r="K222" s="712"/>
      <c r="L222" s="712" t="s">
        <v>91</v>
      </c>
      <c r="M222" s="712"/>
      <c r="N222" s="712"/>
      <c r="O222" s="712"/>
      <c r="P222" s="712"/>
      <c r="Q222" s="712"/>
      <c r="R222" s="712"/>
      <c r="S222" s="712"/>
      <c r="T222" s="712"/>
      <c r="U222" s="713">
        <f>'MoT Travel Input'!L3</f>
        <v>7.1623934612947977</v>
      </c>
      <c r="V222" s="714"/>
      <c r="W222" s="715"/>
    </row>
    <row r="223" spans="1:23" s="716" customFormat="1" ht="15.5" x14ac:dyDescent="0.35">
      <c r="A223" s="712" t="str">
        <f t="shared" si="4"/>
        <v>Scen4_1_bike___</v>
      </c>
      <c r="B223" s="712"/>
      <c r="C223" s="712" t="s">
        <v>405</v>
      </c>
      <c r="D223" s="712">
        <v>1</v>
      </c>
      <c r="E223" s="712" t="s">
        <v>255</v>
      </c>
      <c r="F223" s="712" t="s">
        <v>256</v>
      </c>
      <c r="G223" s="712"/>
      <c r="H223" s="712" t="str">
        <f>'MoT Travel Input'!$P$6</f>
        <v>Scenario C: the golden triangle</v>
      </c>
      <c r="I223" s="712"/>
      <c r="J223" s="712"/>
      <c r="K223" s="712"/>
      <c r="L223" s="712" t="s">
        <v>248</v>
      </c>
      <c r="M223" s="712"/>
      <c r="N223" s="712"/>
      <c r="O223" s="712"/>
      <c r="P223" s="712"/>
      <c r="Q223" s="712"/>
      <c r="R223" s="712"/>
      <c r="S223" s="712"/>
      <c r="T223" s="712"/>
      <c r="U223" s="713">
        <f>'MoT Travel Input'!L4</f>
        <v>1.3897584935143887</v>
      </c>
      <c r="V223" s="714"/>
      <c r="W223" s="715"/>
    </row>
    <row r="224" spans="1:23" s="716" customFormat="1" ht="15.5" x14ac:dyDescent="0.35">
      <c r="A224" s="712" t="str">
        <f t="shared" si="4"/>
        <v>Scen4_1_rail___</v>
      </c>
      <c r="B224" s="712"/>
      <c r="C224" s="712" t="s">
        <v>405</v>
      </c>
      <c r="D224" s="712">
        <v>1</v>
      </c>
      <c r="E224" s="712" t="s">
        <v>255</v>
      </c>
      <c r="F224" s="712" t="s">
        <v>256</v>
      </c>
      <c r="G224" s="712"/>
      <c r="H224" s="712" t="str">
        <f>'MoT Travel Input'!$P$6</f>
        <v>Scenario C: the golden triangle</v>
      </c>
      <c r="I224" s="712"/>
      <c r="J224" s="712"/>
      <c r="K224" s="712"/>
      <c r="L224" s="712" t="s">
        <v>193</v>
      </c>
      <c r="M224" s="712"/>
      <c r="N224" s="712"/>
      <c r="O224" s="712"/>
      <c r="P224" s="712"/>
      <c r="Q224" s="712"/>
      <c r="R224" s="712"/>
      <c r="S224" s="712"/>
      <c r="T224" s="712"/>
      <c r="U224" s="713">
        <f>'MoT Travel Input'!L5</f>
        <v>1.47745257431414</v>
      </c>
      <c r="V224" s="714"/>
      <c r="W224" s="715"/>
    </row>
    <row r="225" spans="1:23" s="716" customFormat="1" ht="15.5" x14ac:dyDescent="0.35">
      <c r="A225" s="712" t="str">
        <f t="shared" si="4"/>
        <v>Scen4_1_bus___</v>
      </c>
      <c r="B225" s="712"/>
      <c r="C225" s="712" t="s">
        <v>405</v>
      </c>
      <c r="D225" s="712">
        <v>1</v>
      </c>
      <c r="E225" s="712" t="s">
        <v>255</v>
      </c>
      <c r="F225" s="712" t="s">
        <v>256</v>
      </c>
      <c r="G225" s="712"/>
      <c r="H225" s="712" t="str">
        <f>'MoT Travel Input'!$P$6</f>
        <v>Scenario C: the golden triangle</v>
      </c>
      <c r="I225" s="712"/>
      <c r="J225" s="712"/>
      <c r="K225" s="712"/>
      <c r="L225" s="712" t="s">
        <v>93</v>
      </c>
      <c r="M225" s="712"/>
      <c r="N225" s="712"/>
      <c r="O225" s="712"/>
      <c r="P225" s="712"/>
      <c r="Q225" s="712"/>
      <c r="R225" s="712"/>
      <c r="S225" s="712"/>
      <c r="T225" s="712"/>
      <c r="U225" s="713">
        <f>'MoT Travel Input'!L6</f>
        <v>2.0227841701906009</v>
      </c>
      <c r="V225" s="714"/>
      <c r="W225" s="715"/>
    </row>
    <row r="226" spans="1:23" s="716" customFormat="1" ht="15.5" x14ac:dyDescent="0.35">
      <c r="A226" s="712" t="str">
        <f t="shared" si="4"/>
        <v>Scen4_1_other___</v>
      </c>
      <c r="B226" s="712"/>
      <c r="C226" s="712" t="s">
        <v>405</v>
      </c>
      <c r="D226" s="712">
        <v>1</v>
      </c>
      <c r="E226" s="712" t="s">
        <v>255</v>
      </c>
      <c r="F226" s="712" t="s">
        <v>256</v>
      </c>
      <c r="G226" s="712"/>
      <c r="H226" s="712" t="str">
        <f>'MoT Travel Input'!$P$6</f>
        <v>Scenario C: the golden triangle</v>
      </c>
      <c r="I226" s="712"/>
      <c r="J226" s="712"/>
      <c r="K226" s="712"/>
      <c r="L226" s="712" t="s">
        <v>194</v>
      </c>
      <c r="M226" s="712"/>
      <c r="N226" s="712"/>
      <c r="O226" s="712"/>
      <c r="P226" s="712"/>
      <c r="Q226" s="712"/>
      <c r="R226" s="712"/>
      <c r="S226" s="712"/>
      <c r="T226" s="712"/>
      <c r="U226" s="713">
        <f>'MoT Travel Input'!L7</f>
        <v>0.72456818772930265</v>
      </c>
      <c r="V226" s="714"/>
      <c r="W226" s="715"/>
    </row>
    <row r="227" spans="1:23" s="716" customFormat="1" ht="15.5" x14ac:dyDescent="0.35">
      <c r="A227" s="712" t="str">
        <f t="shared" si="4"/>
        <v>Scen4_1_auto (driver)___</v>
      </c>
      <c r="B227" s="712"/>
      <c r="C227" s="712" t="s">
        <v>405</v>
      </c>
      <c r="D227" s="712">
        <v>1</v>
      </c>
      <c r="E227" s="712" t="s">
        <v>255</v>
      </c>
      <c r="F227" s="712" t="s">
        <v>256</v>
      </c>
      <c r="G227" s="712"/>
      <c r="H227" s="712" t="str">
        <f>'MoT Travel Input'!$P$6</f>
        <v>Scenario C: the golden triangle</v>
      </c>
      <c r="I227" s="712"/>
      <c r="J227" s="712"/>
      <c r="K227" s="712"/>
      <c r="L227" s="712" t="s">
        <v>251</v>
      </c>
      <c r="M227" s="712"/>
      <c r="N227" s="712"/>
      <c r="O227" s="712"/>
      <c r="P227" s="712"/>
      <c r="Q227" s="712"/>
      <c r="R227" s="712"/>
      <c r="S227" s="712"/>
      <c r="T227" s="712"/>
      <c r="U227" s="713">
        <f>'MoT Travel Input'!L8</f>
        <v>31.362240592510002</v>
      </c>
      <c r="V227" s="714"/>
      <c r="W227" s="715"/>
    </row>
    <row r="228" spans="1:23" s="716" customFormat="1" ht="15.5" x14ac:dyDescent="0.35">
      <c r="A228" s="712" t="str">
        <f t="shared" si="4"/>
        <v>Scen4_1_auto (passenger)___</v>
      </c>
      <c r="B228" s="712"/>
      <c r="C228" s="712" t="s">
        <v>405</v>
      </c>
      <c r="D228" s="712">
        <v>1</v>
      </c>
      <c r="E228" s="712" t="s">
        <v>255</v>
      </c>
      <c r="F228" s="712" t="s">
        <v>256</v>
      </c>
      <c r="G228" s="712"/>
      <c r="H228" s="712" t="str">
        <f>'MoT Travel Input'!$P$6</f>
        <v>Scenario C: the golden triangle</v>
      </c>
      <c r="I228" s="712"/>
      <c r="J228" s="712"/>
      <c r="K228" s="712"/>
      <c r="L228" s="712" t="s">
        <v>252</v>
      </c>
      <c r="M228" s="712"/>
      <c r="N228" s="712"/>
      <c r="O228" s="712"/>
      <c r="P228" s="712"/>
      <c r="Q228" s="712"/>
      <c r="R228" s="712"/>
      <c r="S228" s="712"/>
      <c r="T228" s="712"/>
      <c r="U228" s="713">
        <f>'MoT Travel Input'!L9</f>
        <v>14.21393257545329</v>
      </c>
      <c r="V228" s="714"/>
      <c r="W228" s="715"/>
    </row>
    <row r="229" spans="1:23" s="716" customFormat="1" ht="15.5" x14ac:dyDescent="0.35">
      <c r="A229" s="712" t="str">
        <f t="shared" si="4"/>
        <v>Scen4_3_walk___</v>
      </c>
      <c r="B229" s="712"/>
      <c r="C229" s="712" t="s">
        <v>405</v>
      </c>
      <c r="D229" s="712">
        <v>3</v>
      </c>
      <c r="E229" s="712" t="s">
        <v>257</v>
      </c>
      <c r="F229" s="717" t="s">
        <v>368</v>
      </c>
      <c r="G229" s="712"/>
      <c r="H229" s="712" t="str">
        <f>'MoT Travel Input'!$P$6</f>
        <v>Scenario C: the golden triangle</v>
      </c>
      <c r="I229" s="712"/>
      <c r="J229" s="712"/>
      <c r="K229" s="712"/>
      <c r="L229" s="712" t="s">
        <v>91</v>
      </c>
      <c r="M229" s="712"/>
      <c r="N229" s="712"/>
      <c r="O229" s="712"/>
      <c r="P229" s="712"/>
      <c r="Q229" s="712"/>
      <c r="R229" s="712"/>
      <c r="S229" s="712"/>
      <c r="T229" s="712"/>
      <c r="U229" s="713">
        <f>'MoT Travel Input'!L10</f>
        <v>0.45973806370983111</v>
      </c>
      <c r="V229" s="714"/>
      <c r="W229" s="715"/>
    </row>
    <row r="230" spans="1:23" s="716" customFormat="1" ht="15.5" x14ac:dyDescent="0.35">
      <c r="A230" s="712" t="str">
        <f t="shared" si="4"/>
        <v>Scen4_3_bike___</v>
      </c>
      <c r="B230" s="712"/>
      <c r="C230" s="712" t="s">
        <v>405</v>
      </c>
      <c r="D230" s="717">
        <v>3</v>
      </c>
      <c r="E230" s="717" t="s">
        <v>257</v>
      </c>
      <c r="F230" s="717" t="s">
        <v>368</v>
      </c>
      <c r="G230" s="717"/>
      <c r="H230" s="712" t="str">
        <f>'MoT Travel Input'!$P$6</f>
        <v>Scenario C: the golden triangle</v>
      </c>
      <c r="I230" s="717"/>
      <c r="J230" s="717"/>
      <c r="K230" s="717"/>
      <c r="L230" s="717" t="s">
        <v>248</v>
      </c>
      <c r="M230" s="717"/>
      <c r="N230" s="712"/>
      <c r="O230" s="717"/>
      <c r="P230" s="717"/>
      <c r="Q230" s="717"/>
      <c r="R230" s="717"/>
      <c r="S230" s="717"/>
      <c r="T230" s="718"/>
      <c r="U230" s="713">
        <f>'MoT Travel Input'!L11</f>
        <v>0.30221398422903023</v>
      </c>
      <c r="V230" s="714"/>
      <c r="W230" s="715"/>
    </row>
    <row r="231" spans="1:23" s="716" customFormat="1" ht="15.5" x14ac:dyDescent="0.35">
      <c r="A231" s="712" t="str">
        <f t="shared" si="4"/>
        <v>Scen4_3_rail___</v>
      </c>
      <c r="B231" s="712"/>
      <c r="C231" s="712" t="s">
        <v>405</v>
      </c>
      <c r="D231" s="717">
        <v>3</v>
      </c>
      <c r="E231" s="717" t="s">
        <v>257</v>
      </c>
      <c r="F231" s="717" t="s">
        <v>368</v>
      </c>
      <c r="G231" s="717"/>
      <c r="H231" s="712" t="str">
        <f>'MoT Travel Input'!$P$6</f>
        <v>Scenario C: the golden triangle</v>
      </c>
      <c r="I231" s="717"/>
      <c r="J231" s="717"/>
      <c r="K231" s="717"/>
      <c r="L231" s="717" t="s">
        <v>193</v>
      </c>
      <c r="M231" s="717"/>
      <c r="N231" s="712"/>
      <c r="O231" s="717"/>
      <c r="P231" s="717"/>
      <c r="Q231" s="717"/>
      <c r="R231" s="717"/>
      <c r="S231" s="717"/>
      <c r="T231" s="718"/>
      <c r="U231" s="713">
        <f>'MoT Travel Input'!L12</f>
        <v>0.79267690912233268</v>
      </c>
      <c r="V231" s="714"/>
      <c r="W231" s="715"/>
    </row>
    <row r="232" spans="1:23" s="716" customFormat="1" ht="15.5" x14ac:dyDescent="0.35">
      <c r="A232" s="712" t="str">
        <f t="shared" si="4"/>
        <v>Scen4_3_bus___</v>
      </c>
      <c r="B232" s="712"/>
      <c r="C232" s="712" t="s">
        <v>405</v>
      </c>
      <c r="D232" s="717">
        <v>3</v>
      </c>
      <c r="E232" s="717" t="s">
        <v>257</v>
      </c>
      <c r="F232" s="717" t="s">
        <v>368</v>
      </c>
      <c r="G232" s="717"/>
      <c r="H232" s="712" t="str">
        <f>'MoT Travel Input'!$P$6</f>
        <v>Scenario C: the golden triangle</v>
      </c>
      <c r="I232" s="717"/>
      <c r="J232" s="717"/>
      <c r="K232" s="717"/>
      <c r="L232" s="717" t="s">
        <v>93</v>
      </c>
      <c r="M232" s="717"/>
      <c r="N232" s="712"/>
      <c r="O232" s="717"/>
      <c r="P232" s="717"/>
      <c r="Q232" s="717"/>
      <c r="R232" s="717"/>
      <c r="S232" s="717"/>
      <c r="T232" s="718"/>
      <c r="U232" s="713">
        <f>'MoT Travel Input'!L13</f>
        <v>0.70371050258642187</v>
      </c>
      <c r="V232" s="714"/>
      <c r="W232" s="715"/>
    </row>
    <row r="233" spans="1:23" s="716" customFormat="1" ht="15.5" x14ac:dyDescent="0.35">
      <c r="A233" s="712" t="str">
        <f t="shared" si="4"/>
        <v>Scen4_3_other___</v>
      </c>
      <c r="B233" s="712"/>
      <c r="C233" s="712" t="s">
        <v>405</v>
      </c>
      <c r="D233" s="717">
        <v>3</v>
      </c>
      <c r="E233" s="717" t="s">
        <v>257</v>
      </c>
      <c r="F233" s="717" t="s">
        <v>368</v>
      </c>
      <c r="G233" s="717"/>
      <c r="H233" s="712" t="str">
        <f>'MoT Travel Input'!$P$6</f>
        <v>Scenario C: the golden triangle</v>
      </c>
      <c r="I233" s="717"/>
      <c r="J233" s="717"/>
      <c r="K233" s="717"/>
      <c r="L233" s="717" t="s">
        <v>194</v>
      </c>
      <c r="M233" s="717"/>
      <c r="N233" s="712"/>
      <c r="O233" s="717"/>
      <c r="P233" s="717"/>
      <c r="Q233" s="717"/>
      <c r="R233" s="717"/>
      <c r="S233" s="717"/>
      <c r="T233" s="718"/>
      <c r="U233" s="713">
        <f>'MoT Travel Input'!L14</f>
        <v>0.23259243177801042</v>
      </c>
      <c r="V233" s="714"/>
      <c r="W233" s="715"/>
    </row>
    <row r="234" spans="1:23" s="716" customFormat="1" ht="15.5" x14ac:dyDescent="0.35">
      <c r="A234" s="712" t="str">
        <f t="shared" si="4"/>
        <v>Scen4_3_auto (driver)___</v>
      </c>
      <c r="B234" s="712"/>
      <c r="C234" s="712" t="s">
        <v>405</v>
      </c>
      <c r="D234" s="717">
        <v>3</v>
      </c>
      <c r="E234" s="717" t="s">
        <v>257</v>
      </c>
      <c r="F234" s="717" t="s">
        <v>368</v>
      </c>
      <c r="G234" s="717"/>
      <c r="H234" s="712" t="str">
        <f>'MoT Travel Input'!$P$6</f>
        <v>Scenario C: the golden triangle</v>
      </c>
      <c r="I234" s="717"/>
      <c r="J234" s="717"/>
      <c r="K234" s="717"/>
      <c r="L234" s="717" t="s">
        <v>251</v>
      </c>
      <c r="M234" s="717"/>
      <c r="N234" s="712"/>
      <c r="O234" s="717"/>
      <c r="P234" s="717"/>
      <c r="Q234" s="717"/>
      <c r="R234" s="717"/>
      <c r="S234" s="717"/>
      <c r="U234" s="713">
        <f>'MoT Travel Input'!L15</f>
        <v>19.843047119648599</v>
      </c>
      <c r="V234" s="714"/>
      <c r="W234" s="715"/>
    </row>
    <row r="235" spans="1:23" s="716" customFormat="1" ht="15.5" x14ac:dyDescent="0.35">
      <c r="A235" s="712" t="str">
        <f t="shared" si="4"/>
        <v>Scen4_3_auto (passenger)___</v>
      </c>
      <c r="B235" s="712"/>
      <c r="C235" s="712" t="s">
        <v>405</v>
      </c>
      <c r="D235" s="717">
        <v>3</v>
      </c>
      <c r="E235" s="717" t="s">
        <v>257</v>
      </c>
      <c r="F235" s="717" t="s">
        <v>368</v>
      </c>
      <c r="G235" s="717"/>
      <c r="H235" s="712" t="str">
        <f>'MoT Travel Input'!$P$6</f>
        <v>Scenario C: the golden triangle</v>
      </c>
      <c r="I235" s="717"/>
      <c r="J235" s="717"/>
      <c r="K235" s="717"/>
      <c r="L235" s="717" t="s">
        <v>252</v>
      </c>
      <c r="M235" s="717"/>
      <c r="N235" s="712"/>
      <c r="O235" s="717"/>
      <c r="P235" s="717"/>
      <c r="Q235" s="717"/>
      <c r="R235" s="717"/>
      <c r="S235" s="717"/>
      <c r="T235" s="718"/>
      <c r="U235" s="713">
        <f>'MoT Travel Input'!L16</f>
        <v>10.001641278471505</v>
      </c>
      <c r="V235" s="714"/>
      <c r="W235" s="715"/>
    </row>
    <row r="236" spans="1:23" s="716" customFormat="1" ht="15.5" x14ac:dyDescent="0.35">
      <c r="A236" s="712" t="str">
        <f t="shared" si="4"/>
        <v>Scen4_18____</v>
      </c>
      <c r="B236" s="712"/>
      <c r="C236" s="712" t="s">
        <v>405</v>
      </c>
      <c r="D236" s="717">
        <v>18</v>
      </c>
      <c r="E236" s="717" t="s">
        <v>259</v>
      </c>
      <c r="F236" s="717" t="s">
        <v>260</v>
      </c>
      <c r="G236" s="717"/>
      <c r="H236" s="712" t="str">
        <f>'MoT Travel Input'!$P$6</f>
        <v>Scenario C: the golden triangle</v>
      </c>
      <c r="I236" s="717"/>
      <c r="J236" s="717"/>
      <c r="K236" s="717"/>
      <c r="L236" s="717"/>
      <c r="M236" s="717"/>
      <c r="N236" s="717"/>
      <c r="O236" s="717"/>
      <c r="P236" s="717"/>
      <c r="Q236" s="717"/>
      <c r="R236" s="717"/>
      <c r="S236" s="717"/>
      <c r="T236" s="717"/>
      <c r="U236" s="742">
        <f>'MoT Travel Input'!L21</f>
        <v>6729400</v>
      </c>
      <c r="V236" s="714"/>
      <c r="W236" s="715"/>
    </row>
    <row r="237" spans="1:23" s="716" customFormat="1" ht="15.5" x14ac:dyDescent="0.35">
      <c r="A237" s="712" t="str">
        <f t="shared" si="4"/>
        <v>Scen4_10.1_Auto (Driver)___</v>
      </c>
      <c r="B237" s="712"/>
      <c r="C237" s="712" t="s">
        <v>405</v>
      </c>
      <c r="D237" s="717">
        <v>10.1</v>
      </c>
      <c r="E237" s="717" t="s">
        <v>369</v>
      </c>
      <c r="F237" s="717" t="s">
        <v>368</v>
      </c>
      <c r="G237" s="717"/>
      <c r="H237" s="712" t="str">
        <f>'MoT Travel Input'!$P$6</f>
        <v>Scenario C: the golden triangle</v>
      </c>
      <c r="I237" s="717"/>
      <c r="J237" s="717"/>
      <c r="K237" s="717"/>
      <c r="L237" s="717" t="s">
        <v>234</v>
      </c>
      <c r="M237" s="717"/>
      <c r="N237" s="717"/>
      <c r="O237" s="717"/>
      <c r="P237" s="717"/>
      <c r="Q237" s="717"/>
      <c r="R237" s="717"/>
      <c r="S237" s="719"/>
      <c r="T237" s="717"/>
      <c r="U237" s="720">
        <f>'MoT Travel Input'!L17</f>
        <v>133531801.28696328</v>
      </c>
      <c r="V237" s="714"/>
      <c r="W237" s="715"/>
    </row>
    <row r="238" spans="1:23" s="716" customFormat="1" ht="15.5" x14ac:dyDescent="0.35">
      <c r="A238" s="712" t="str">
        <f t="shared" si="4"/>
        <v>Scen4_10.1_Auto (Passenger)___</v>
      </c>
      <c r="B238" s="712"/>
      <c r="C238" s="712" t="s">
        <v>405</v>
      </c>
      <c r="D238" s="717">
        <v>10.1</v>
      </c>
      <c r="E238" s="717" t="s">
        <v>369</v>
      </c>
      <c r="F238" s="717" t="s">
        <v>368</v>
      </c>
      <c r="G238" s="717"/>
      <c r="H238" s="712" t="str">
        <f>'MoT Travel Input'!$P$6</f>
        <v>Scenario C: the golden triangle</v>
      </c>
      <c r="I238" s="717"/>
      <c r="J238" s="717"/>
      <c r="K238" s="717"/>
      <c r="L238" s="717" t="s">
        <v>235</v>
      </c>
      <c r="M238" s="717"/>
      <c r="N238" s="717"/>
      <c r="O238" s="717"/>
      <c r="P238" s="717"/>
      <c r="Q238" s="717"/>
      <c r="R238" s="717"/>
      <c r="S238" s="719"/>
      <c r="U238" s="720">
        <f>'MoT Travel Input'!L18</f>
        <v>67305044.819346145</v>
      </c>
      <c r="V238" s="714"/>
      <c r="W238" s="715"/>
    </row>
    <row r="239" spans="1:23" s="716" customFormat="1" ht="15.5" x14ac:dyDescent="0.35">
      <c r="A239" s="712" t="str">
        <f t="shared" si="4"/>
        <v>Scen4_10.2_Auto (Driver)___</v>
      </c>
      <c r="B239" s="712"/>
      <c r="C239" s="712" t="s">
        <v>405</v>
      </c>
      <c r="D239" s="717">
        <v>10.199999999999999</v>
      </c>
      <c r="E239" s="717" t="s">
        <v>272</v>
      </c>
      <c r="F239" s="717" t="s">
        <v>273</v>
      </c>
      <c r="G239" s="717"/>
      <c r="H239" s="712" t="str">
        <f>'MoT Travel Input'!$P$6</f>
        <v>Scenario C: the golden triangle</v>
      </c>
      <c r="I239" s="717"/>
      <c r="J239" s="717"/>
      <c r="K239" s="717"/>
      <c r="L239" s="717" t="s">
        <v>234</v>
      </c>
      <c r="M239" s="717"/>
      <c r="N239" s="717"/>
      <c r="O239" s="717"/>
      <c r="P239" s="717"/>
      <c r="Q239" s="717"/>
      <c r="R239" s="717"/>
      <c r="S239" s="719"/>
      <c r="T239" s="717"/>
      <c r="U239" s="720">
        <f>'MoT Travel Input'!L19</f>
        <v>3517484.3640539469</v>
      </c>
      <c r="V239" s="714"/>
      <c r="W239" s="715"/>
    </row>
    <row r="240" spans="1:23" s="716" customFormat="1" ht="15.5" x14ac:dyDescent="0.35">
      <c r="A240" s="712" t="str">
        <f t="shared" si="4"/>
        <v>Scen4_10.2_Auto (Passenger)___</v>
      </c>
      <c r="B240" s="712"/>
      <c r="C240" s="712" t="s">
        <v>405</v>
      </c>
      <c r="D240" s="712">
        <v>10.199999999999999</v>
      </c>
      <c r="E240" s="712" t="s">
        <v>272</v>
      </c>
      <c r="F240" s="712" t="s">
        <v>273</v>
      </c>
      <c r="G240" s="712"/>
      <c r="H240" s="712" t="str">
        <f>'MoT Travel Input'!$P$6</f>
        <v>Scenario C: the golden triangle</v>
      </c>
      <c r="I240" s="712"/>
      <c r="J240" s="712"/>
      <c r="K240" s="712"/>
      <c r="L240" s="712" t="s">
        <v>235</v>
      </c>
      <c r="M240" s="712"/>
      <c r="N240" s="712"/>
      <c r="O240" s="712"/>
      <c r="P240" s="712"/>
      <c r="Q240" s="712"/>
      <c r="R240" s="712"/>
      <c r="S240" s="712"/>
      <c r="T240" s="712"/>
      <c r="U240" s="720">
        <f>'MoT Travel Input'!L20</f>
        <v>1594187.2978875895</v>
      </c>
      <c r="V240" s="714"/>
      <c r="W240" s="715"/>
    </row>
    <row r="241" spans="1:23" s="712" customFormat="1" ht="15.5" x14ac:dyDescent="0.35">
      <c r="A241" s="712" t="str">
        <f t="shared" si="4"/>
        <v>Scen4_5___0-4_f</v>
      </c>
      <c r="B241" s="716"/>
      <c r="C241" s="712" t="s">
        <v>405</v>
      </c>
      <c r="D241" s="716">
        <v>5</v>
      </c>
      <c r="E241" s="716" t="s">
        <v>223</v>
      </c>
      <c r="F241" s="715" t="s">
        <v>101</v>
      </c>
      <c r="G241" s="716"/>
      <c r="H241" s="712" t="str">
        <f>'MoT Travel Input'!$P$6</f>
        <v>Scenario C: the golden triangle</v>
      </c>
      <c r="K241" s="716"/>
      <c r="L241" s="716"/>
      <c r="M241" s="716"/>
      <c r="N241" s="716"/>
      <c r="O241" s="716"/>
      <c r="P241" s="716"/>
      <c r="Q241" s="715" t="s">
        <v>2</v>
      </c>
      <c r="R241" s="716" t="s">
        <v>26</v>
      </c>
      <c r="S241" s="716"/>
      <c r="T241" s="716"/>
      <c r="U241" s="716">
        <f>'[4]NZ.Stat export'!U6</f>
        <v>2.9601865242156834E-2</v>
      </c>
      <c r="V241" s="721"/>
      <c r="W241" s="715"/>
    </row>
    <row r="242" spans="1:23" s="712" customFormat="1" ht="15.5" x14ac:dyDescent="0.35">
      <c r="A242" s="712" t="str">
        <f t="shared" si="4"/>
        <v>Scen4_5___5-14_f</v>
      </c>
      <c r="B242" s="716"/>
      <c r="C242" s="712" t="s">
        <v>405</v>
      </c>
      <c r="D242" s="716">
        <v>5</v>
      </c>
      <c r="E242" s="716" t="s">
        <v>223</v>
      </c>
      <c r="F242" s="715" t="s">
        <v>101</v>
      </c>
      <c r="G242" s="716"/>
      <c r="H242" s="712" t="str">
        <f>'MoT Travel Input'!$P$6</f>
        <v>Scenario C: the golden triangle</v>
      </c>
      <c r="K242" s="716"/>
      <c r="L242" s="716"/>
      <c r="M242" s="716"/>
      <c r="N242" s="716"/>
      <c r="O242" s="716"/>
      <c r="P242" s="716"/>
      <c r="Q242" s="722" t="s">
        <v>3</v>
      </c>
      <c r="R242" s="716" t="s">
        <v>26</v>
      </c>
      <c r="S242" s="716"/>
      <c r="T242" s="716"/>
      <c r="U242" s="716">
        <f>'[4]NZ.Stat export'!U7</f>
        <v>5.85544373284538E-2</v>
      </c>
      <c r="V242" s="721"/>
      <c r="W242" s="715"/>
    </row>
    <row r="243" spans="1:23" s="712" customFormat="1" ht="15.5" x14ac:dyDescent="0.35">
      <c r="A243" s="712" t="str">
        <f t="shared" si="4"/>
        <v>Scen4_5___15-29_f</v>
      </c>
      <c r="B243" s="716"/>
      <c r="C243" s="712" t="s">
        <v>405</v>
      </c>
      <c r="D243" s="716">
        <v>5</v>
      </c>
      <c r="E243" s="716" t="s">
        <v>223</v>
      </c>
      <c r="F243" s="715" t="s">
        <v>101</v>
      </c>
      <c r="G243" s="716"/>
      <c r="H243" s="712" t="str">
        <f>'MoT Travel Input'!$P$6</f>
        <v>Scenario C: the golden triangle</v>
      </c>
      <c r="K243" s="716"/>
      <c r="L243" s="716"/>
      <c r="M243" s="716"/>
      <c r="N243" s="716"/>
      <c r="O243" s="716"/>
      <c r="P243" s="716"/>
      <c r="Q243" s="716" t="s">
        <v>4</v>
      </c>
      <c r="R243" s="716" t="s">
        <v>26</v>
      </c>
      <c r="S243" s="716"/>
      <c r="T243" s="716"/>
      <c r="U243" s="716">
        <f>'[4]NZ.Stat export'!U8</f>
        <v>8.6415016379895529E-2</v>
      </c>
      <c r="V243" s="721"/>
      <c r="W243" s="715"/>
    </row>
    <row r="244" spans="1:23" s="712" customFormat="1" ht="15.5" x14ac:dyDescent="0.35">
      <c r="A244" s="712" t="str">
        <f t="shared" si="4"/>
        <v>Scen4_5___30-44_f</v>
      </c>
      <c r="B244" s="716"/>
      <c r="C244" s="712" t="s">
        <v>405</v>
      </c>
      <c r="D244" s="716">
        <v>5</v>
      </c>
      <c r="E244" s="716" t="s">
        <v>223</v>
      </c>
      <c r="F244" s="715" t="s">
        <v>101</v>
      </c>
      <c r="G244" s="716"/>
      <c r="H244" s="712" t="str">
        <f>'MoT Travel Input'!$P$6</f>
        <v>Scenario C: the golden triangle</v>
      </c>
      <c r="K244" s="716"/>
      <c r="L244" s="716"/>
      <c r="M244" s="716"/>
      <c r="N244" s="716"/>
      <c r="O244" s="716"/>
      <c r="P244" s="716"/>
      <c r="Q244" s="716" t="s">
        <v>5</v>
      </c>
      <c r="R244" s="716" t="s">
        <v>26</v>
      </c>
      <c r="S244" s="716"/>
      <c r="T244" s="716"/>
      <c r="U244" s="716">
        <f>'[4]NZ.Stat export'!U9</f>
        <v>9.1889738216804892E-2</v>
      </c>
      <c r="V244" s="721"/>
      <c r="W244" s="715"/>
    </row>
    <row r="245" spans="1:23" s="712" customFormat="1" ht="15.5" x14ac:dyDescent="0.35">
      <c r="A245" s="712" t="str">
        <f t="shared" si="4"/>
        <v>Scen4_5___45-59_f</v>
      </c>
      <c r="B245" s="716"/>
      <c r="C245" s="712" t="s">
        <v>405</v>
      </c>
      <c r="D245" s="716">
        <v>5</v>
      </c>
      <c r="E245" s="716" t="s">
        <v>223</v>
      </c>
      <c r="F245" s="715" t="s">
        <v>101</v>
      </c>
      <c r="G245" s="716"/>
      <c r="H245" s="712" t="str">
        <f>'MoT Travel Input'!$P$6</f>
        <v>Scenario C: the golden triangle</v>
      </c>
      <c r="K245" s="716"/>
      <c r="L245" s="716"/>
      <c r="M245" s="716"/>
      <c r="N245" s="716"/>
      <c r="O245" s="716"/>
      <c r="P245" s="716"/>
      <c r="Q245" s="716" t="s">
        <v>6</v>
      </c>
      <c r="R245" s="716" t="s">
        <v>26</v>
      </c>
      <c r="S245" s="716"/>
      <c r="T245" s="716"/>
      <c r="U245" s="716">
        <f>'[4]NZ.Stat export'!U10</f>
        <v>9.2037304843136672E-2</v>
      </c>
      <c r="V245" s="721"/>
      <c r="W245" s="715"/>
    </row>
    <row r="246" spans="1:23" s="712" customFormat="1" ht="15.5" x14ac:dyDescent="0.35">
      <c r="A246" s="712" t="str">
        <f t="shared" si="4"/>
        <v>Scen4_5___60-69_f</v>
      </c>
      <c r="B246" s="716"/>
      <c r="C246" s="712" t="s">
        <v>405</v>
      </c>
      <c r="D246" s="716">
        <v>5</v>
      </c>
      <c r="E246" s="716" t="s">
        <v>223</v>
      </c>
      <c r="F246" s="715" t="s">
        <v>101</v>
      </c>
      <c r="G246" s="716"/>
      <c r="H246" s="712" t="str">
        <f>'MoT Travel Input'!$P$6</f>
        <v>Scenario C: the golden triangle</v>
      </c>
      <c r="K246" s="716"/>
      <c r="L246" s="716"/>
      <c r="M246" s="716"/>
      <c r="N246" s="716"/>
      <c r="O246" s="716"/>
      <c r="P246" s="716"/>
      <c r="Q246" s="716" t="s">
        <v>7</v>
      </c>
      <c r="R246" s="716" t="s">
        <v>26</v>
      </c>
      <c r="S246" s="716"/>
      <c r="T246" s="716"/>
      <c r="U246" s="716">
        <f>'[4]NZ.Stat export'!U11</f>
        <v>4.614408405395036E-2</v>
      </c>
      <c r="V246" s="721"/>
      <c r="W246" s="715"/>
    </row>
    <row r="247" spans="1:23" s="712" customFormat="1" ht="15.5" x14ac:dyDescent="0.35">
      <c r="A247" s="712" t="str">
        <f t="shared" si="4"/>
        <v>Scen4_5___70-79_f</v>
      </c>
      <c r="B247" s="716"/>
      <c r="C247" s="712" t="s">
        <v>405</v>
      </c>
      <c r="D247" s="716">
        <v>5</v>
      </c>
      <c r="E247" s="716" t="s">
        <v>223</v>
      </c>
      <c r="F247" s="715" t="s">
        <v>101</v>
      </c>
      <c r="G247" s="716"/>
      <c r="H247" s="712" t="str">
        <f>'MoT Travel Input'!$P$6</f>
        <v>Scenario C: the golden triangle</v>
      </c>
      <c r="K247" s="716"/>
      <c r="L247" s="716"/>
      <c r="M247" s="716"/>
      <c r="N247" s="716"/>
      <c r="O247" s="716"/>
      <c r="P247" s="716"/>
      <c r="Q247" s="716" t="s">
        <v>8</v>
      </c>
      <c r="R247" s="716" t="s">
        <v>26</v>
      </c>
      <c r="S247" s="716"/>
      <c r="T247" s="716"/>
      <c r="U247" s="716">
        <f>'[4]NZ.Stat export'!U12</f>
        <v>4.663105392084526E-2</v>
      </c>
      <c r="V247" s="721"/>
      <c r="W247" s="715"/>
    </row>
    <row r="248" spans="1:23" s="712" customFormat="1" ht="15.5" x14ac:dyDescent="0.35">
      <c r="A248" s="712" t="str">
        <f t="shared" si="4"/>
        <v>Scen4_5___80+_f</v>
      </c>
      <c r="B248" s="716"/>
      <c r="C248" s="712" t="s">
        <v>405</v>
      </c>
      <c r="D248" s="716">
        <v>5</v>
      </c>
      <c r="E248" s="716" t="s">
        <v>223</v>
      </c>
      <c r="F248" s="715" t="s">
        <v>101</v>
      </c>
      <c r="G248" s="716"/>
      <c r="H248" s="712" t="str">
        <f>'MoT Travel Input'!$P$6</f>
        <v>Scenario C: the golden triangle</v>
      </c>
      <c r="K248" s="716"/>
      <c r="L248" s="716"/>
      <c r="M248" s="716"/>
      <c r="N248" s="716"/>
      <c r="O248" s="716"/>
      <c r="P248" s="716"/>
      <c r="Q248" s="716" t="s">
        <v>9</v>
      </c>
      <c r="R248" s="716" t="s">
        <v>26</v>
      </c>
      <c r="S248" s="716"/>
      <c r="T248" s="716"/>
      <c r="U248" s="716">
        <f>'[4]NZ.Stat export'!U13</f>
        <v>4.4565121152200217E-2</v>
      </c>
      <c r="V248" s="721"/>
      <c r="W248" s="715"/>
    </row>
    <row r="249" spans="1:23" s="712" customFormat="1" ht="15.5" x14ac:dyDescent="0.35">
      <c r="A249" s="712" t="str">
        <f t="shared" si="4"/>
        <v>Scen4_5___0-4_m</v>
      </c>
      <c r="B249" s="716"/>
      <c r="C249" s="712" t="s">
        <v>405</v>
      </c>
      <c r="D249" s="716">
        <v>5</v>
      </c>
      <c r="E249" s="716" t="s">
        <v>223</v>
      </c>
      <c r="F249" s="715" t="s">
        <v>101</v>
      </c>
      <c r="G249" s="716"/>
      <c r="H249" s="712" t="str">
        <f>'MoT Travel Input'!$P$6</f>
        <v>Scenario C: the golden triangle</v>
      </c>
      <c r="K249" s="716"/>
      <c r="L249" s="716"/>
      <c r="M249" s="716"/>
      <c r="N249" s="716"/>
      <c r="O249" s="716"/>
      <c r="P249" s="716"/>
      <c r="Q249" s="715" t="s">
        <v>2</v>
      </c>
      <c r="R249" s="716" t="s">
        <v>25</v>
      </c>
      <c r="S249" s="716"/>
      <c r="T249" s="716"/>
      <c r="U249" s="716">
        <f>'[4]NZ.Stat export'!U14</f>
        <v>3.122509813180651E-2</v>
      </c>
      <c r="V249" s="721"/>
      <c r="W249" s="715"/>
    </row>
    <row r="250" spans="1:23" s="712" customFormat="1" ht="15.5" x14ac:dyDescent="0.35">
      <c r="A250" s="712" t="str">
        <f t="shared" si="4"/>
        <v>Scen4_5___5-14_m</v>
      </c>
      <c r="B250" s="716"/>
      <c r="C250" s="712" t="s">
        <v>405</v>
      </c>
      <c r="D250" s="716">
        <v>5</v>
      </c>
      <c r="E250" s="716" t="s">
        <v>223</v>
      </c>
      <c r="F250" s="715" t="s">
        <v>101</v>
      </c>
      <c r="G250" s="716"/>
      <c r="H250" s="712" t="str">
        <f>'MoT Travel Input'!$P$6</f>
        <v>Scenario C: the golden triangle</v>
      </c>
      <c r="K250" s="716"/>
      <c r="L250" s="716"/>
      <c r="M250" s="716"/>
      <c r="N250" s="716"/>
      <c r="O250" s="716"/>
      <c r="P250" s="716"/>
      <c r="Q250" s="722" t="s">
        <v>3</v>
      </c>
      <c r="R250" s="716" t="s">
        <v>25</v>
      </c>
      <c r="S250" s="716"/>
      <c r="T250" s="716"/>
      <c r="U250" s="716">
        <f>'[4]NZ.Stat export'!U15</f>
        <v>6.191895640881858E-2</v>
      </c>
      <c r="V250" s="721"/>
      <c r="W250" s="715"/>
    </row>
    <row r="251" spans="1:23" s="712" customFormat="1" ht="15.5" x14ac:dyDescent="0.35">
      <c r="A251" s="712" t="str">
        <f t="shared" si="4"/>
        <v>Scen4_5___15-29_m</v>
      </c>
      <c r="B251" s="716"/>
      <c r="C251" s="712" t="s">
        <v>405</v>
      </c>
      <c r="D251" s="716">
        <v>5</v>
      </c>
      <c r="E251" s="716" t="s">
        <v>223</v>
      </c>
      <c r="F251" s="715" t="s">
        <v>101</v>
      </c>
      <c r="G251" s="716"/>
      <c r="H251" s="712" t="str">
        <f>'MoT Travel Input'!$P$6</f>
        <v>Scenario C: the golden triangle</v>
      </c>
      <c r="K251" s="716"/>
      <c r="L251" s="716"/>
      <c r="M251" s="716"/>
      <c r="N251" s="716"/>
      <c r="O251" s="716"/>
      <c r="P251" s="716"/>
      <c r="Q251" s="716" t="s">
        <v>4</v>
      </c>
      <c r="R251" s="716" t="s">
        <v>25</v>
      </c>
      <c r="S251" s="716"/>
      <c r="T251" s="716"/>
      <c r="U251" s="716">
        <f>'[4]NZ.Stat export'!U16</f>
        <v>9.4826314080807481E-2</v>
      </c>
      <c r="V251" s="721"/>
      <c r="W251" s="715"/>
    </row>
    <row r="252" spans="1:23" s="712" customFormat="1" ht="15.5" x14ac:dyDescent="0.35">
      <c r="A252" s="712" t="str">
        <f t="shared" si="4"/>
        <v>Scen4_5___30-44_m</v>
      </c>
      <c r="B252" s="716"/>
      <c r="C252" s="712" t="s">
        <v>405</v>
      </c>
      <c r="D252" s="716">
        <v>5</v>
      </c>
      <c r="E252" s="716" t="s">
        <v>223</v>
      </c>
      <c r="F252" s="715" t="s">
        <v>101</v>
      </c>
      <c r="G252" s="716"/>
      <c r="H252" s="712" t="str">
        <f>'MoT Travel Input'!$P$6</f>
        <v>Scenario C: the golden triangle</v>
      </c>
      <c r="K252" s="716"/>
      <c r="L252" s="716"/>
      <c r="M252" s="716"/>
      <c r="N252" s="716"/>
      <c r="O252" s="716"/>
      <c r="P252" s="716"/>
      <c r="Q252" s="716" t="s">
        <v>5</v>
      </c>
      <c r="R252" s="716" t="s">
        <v>25</v>
      </c>
      <c r="S252" s="716"/>
      <c r="T252" s="716"/>
      <c r="U252" s="716">
        <f>'[4]NZ.Stat export'!U17</f>
        <v>0.1007584924593454</v>
      </c>
      <c r="V252" s="721"/>
      <c r="W252" s="715"/>
    </row>
    <row r="253" spans="1:23" s="712" customFormat="1" ht="15.5" x14ac:dyDescent="0.35">
      <c r="A253" s="712" t="str">
        <f t="shared" si="4"/>
        <v>Scen4_5___45-59_m</v>
      </c>
      <c r="B253" s="716"/>
      <c r="C253" s="712" t="s">
        <v>405</v>
      </c>
      <c r="D253" s="716">
        <v>5</v>
      </c>
      <c r="E253" s="716" t="s">
        <v>223</v>
      </c>
      <c r="F253" s="715" t="s">
        <v>101</v>
      </c>
      <c r="G253" s="716"/>
      <c r="H253" s="712" t="str">
        <f>'MoT Travel Input'!$P$6</f>
        <v>Scenario C: the golden triangle</v>
      </c>
      <c r="K253" s="716"/>
      <c r="L253" s="716"/>
      <c r="M253" s="716"/>
      <c r="N253" s="716"/>
      <c r="O253" s="716"/>
      <c r="P253" s="716"/>
      <c r="Q253" s="716" t="s">
        <v>6</v>
      </c>
      <c r="R253" s="716" t="s">
        <v>25</v>
      </c>
      <c r="S253" s="716"/>
      <c r="T253" s="716"/>
      <c r="U253" s="716">
        <f>'[4]NZ.Stat export'!U18</f>
        <v>9.5844523802496834E-2</v>
      </c>
      <c r="V253" s="721"/>
      <c r="W253" s="715"/>
    </row>
    <row r="254" spans="1:23" s="712" customFormat="1" ht="15.5" x14ac:dyDescent="0.35">
      <c r="A254" s="712" t="str">
        <f t="shared" si="4"/>
        <v>Scen4_5___60-69_m</v>
      </c>
      <c r="B254" s="716"/>
      <c r="C254" s="712" t="s">
        <v>405</v>
      </c>
      <c r="D254" s="716">
        <v>5</v>
      </c>
      <c r="E254" s="716" t="s">
        <v>223</v>
      </c>
      <c r="F254" s="715" t="s">
        <v>101</v>
      </c>
      <c r="G254" s="716"/>
      <c r="H254" s="712" t="str">
        <f>'MoT Travel Input'!$P$6</f>
        <v>Scenario C: the golden triangle</v>
      </c>
      <c r="K254" s="716"/>
      <c r="L254" s="716"/>
      <c r="M254" s="716"/>
      <c r="N254" s="716"/>
      <c r="O254" s="716"/>
      <c r="P254" s="716"/>
      <c r="Q254" s="716" t="s">
        <v>7</v>
      </c>
      <c r="R254" s="716" t="s">
        <v>25</v>
      </c>
      <c r="S254" s="716"/>
      <c r="T254" s="716"/>
      <c r="U254" s="716">
        <f>'[4]NZ.Stat export'!U19</f>
        <v>4.3059941563615971E-2</v>
      </c>
      <c r="V254" s="721"/>
      <c r="W254" s="715"/>
    </row>
    <row r="255" spans="1:23" s="712" customFormat="1" ht="15.5" x14ac:dyDescent="0.35">
      <c r="A255" s="712" t="str">
        <f t="shared" si="4"/>
        <v>Scen4_5___70-79_m</v>
      </c>
      <c r="B255" s="716"/>
      <c r="C255" s="712" t="s">
        <v>405</v>
      </c>
      <c r="D255" s="716">
        <v>5</v>
      </c>
      <c r="E255" s="716" t="s">
        <v>223</v>
      </c>
      <c r="F255" s="715" t="s">
        <v>101</v>
      </c>
      <c r="G255" s="716"/>
      <c r="H255" s="712" t="str">
        <f>'MoT Travel Input'!$P$6</f>
        <v>Scenario C: the golden triangle</v>
      </c>
      <c r="K255" s="716"/>
      <c r="L255" s="716"/>
      <c r="M255" s="716"/>
      <c r="N255" s="716"/>
      <c r="O255" s="716"/>
      <c r="P255" s="716"/>
      <c r="Q255" s="716" t="s">
        <v>8</v>
      </c>
      <c r="R255" s="716" t="s">
        <v>25</v>
      </c>
      <c r="S255" s="716"/>
      <c r="T255" s="716"/>
      <c r="U255" s="716">
        <f>'[4]NZ.Stat export'!U20</f>
        <v>4.1613788625564439E-2</v>
      </c>
      <c r="V255" s="721"/>
      <c r="W255" s="715"/>
    </row>
    <row r="256" spans="1:23" s="712" customFormat="1" ht="15.5" x14ac:dyDescent="0.35">
      <c r="A256" s="712" t="str">
        <f t="shared" si="4"/>
        <v>Scen4_5___80+_m</v>
      </c>
      <c r="B256" s="716"/>
      <c r="C256" s="712" t="s">
        <v>405</v>
      </c>
      <c r="D256" s="716">
        <v>5</v>
      </c>
      <c r="E256" s="716" t="s">
        <v>223</v>
      </c>
      <c r="F256" s="715" t="s">
        <v>101</v>
      </c>
      <c r="G256" s="716"/>
      <c r="H256" s="712" t="str">
        <f>'MoT Travel Input'!$P$6</f>
        <v>Scenario C: the golden triangle</v>
      </c>
      <c r="K256" s="716"/>
      <c r="L256" s="716"/>
      <c r="M256" s="716"/>
      <c r="N256" s="716"/>
      <c r="O256" s="716"/>
      <c r="P256" s="716"/>
      <c r="Q256" s="716" t="s">
        <v>9</v>
      </c>
      <c r="R256" s="716" t="s">
        <v>25</v>
      </c>
      <c r="S256" s="716"/>
      <c r="T256" s="716"/>
      <c r="U256" s="716">
        <f>'[4]NZ.Stat export'!U21</f>
        <v>3.4914263790101228E-2</v>
      </c>
      <c r="V256" s="721"/>
      <c r="W256" s="715"/>
    </row>
    <row r="257" spans="1:23" s="712" customFormat="1" ht="15.5" x14ac:dyDescent="0.35">
      <c r="A257" s="712" t="str">
        <f t="shared" si="4"/>
        <v>Scen4_2_Bike__00-04_f</v>
      </c>
      <c r="B257" s="716"/>
      <c r="C257" s="712" t="s">
        <v>405</v>
      </c>
      <c r="D257" s="716">
        <v>2</v>
      </c>
      <c r="E257" s="716" t="s">
        <v>118</v>
      </c>
      <c r="F257" s="715" t="s">
        <v>379</v>
      </c>
      <c r="G257" s="716"/>
      <c r="H257" s="712" t="str">
        <f>'MoT Travel Input'!$P$6</f>
        <v>Scenario C: the golden triangle</v>
      </c>
      <c r="K257" s="716"/>
      <c r="L257" s="716" t="s">
        <v>250</v>
      </c>
      <c r="M257" s="716"/>
      <c r="N257" s="716"/>
      <c r="O257" s="716"/>
      <c r="P257" s="716"/>
      <c r="Q257" s="716" t="s">
        <v>196</v>
      </c>
      <c r="R257" s="716" t="s">
        <v>26</v>
      </c>
      <c r="S257" s="716"/>
      <c r="T257" s="716"/>
      <c r="U257" s="716"/>
      <c r="V257" s="721"/>
      <c r="W257" s="715"/>
    </row>
    <row r="258" spans="1:23" s="712" customFormat="1" ht="15.5" x14ac:dyDescent="0.35">
      <c r="A258" s="712" t="str">
        <f t="shared" si="4"/>
        <v>Scen4_2_Bike__05-14_f</v>
      </c>
      <c r="B258" s="716"/>
      <c r="C258" s="712" t="s">
        <v>405</v>
      </c>
      <c r="D258" s="716">
        <v>2</v>
      </c>
      <c r="E258" s="716" t="s">
        <v>118</v>
      </c>
      <c r="F258" s="715" t="s">
        <v>379</v>
      </c>
      <c r="G258" s="716"/>
      <c r="H258" s="712" t="str">
        <f>'MoT Travel Input'!$P$6</f>
        <v>Scenario C: the golden triangle</v>
      </c>
      <c r="K258" s="716"/>
      <c r="L258" s="716" t="s">
        <v>250</v>
      </c>
      <c r="M258" s="716"/>
      <c r="N258" s="716"/>
      <c r="O258" s="716"/>
      <c r="P258" s="716"/>
      <c r="Q258" s="716" t="s">
        <v>191</v>
      </c>
      <c r="R258" s="716" t="s">
        <v>26</v>
      </c>
      <c r="S258" s="716"/>
      <c r="T258" s="716"/>
      <c r="U258" s="716"/>
      <c r="V258" s="721"/>
      <c r="W258" s="715"/>
    </row>
    <row r="259" spans="1:23" s="712" customFormat="1" ht="15.5" x14ac:dyDescent="0.35">
      <c r="A259" s="712" t="str">
        <f t="shared" si="4"/>
        <v>Scen4_2_Bike__15-29_f</v>
      </c>
      <c r="B259" s="716"/>
      <c r="C259" s="712" t="s">
        <v>405</v>
      </c>
      <c r="D259" s="716">
        <v>2</v>
      </c>
      <c r="E259" s="716" t="s">
        <v>118</v>
      </c>
      <c r="F259" s="715" t="s">
        <v>379</v>
      </c>
      <c r="G259" s="716"/>
      <c r="H259" s="712" t="str">
        <f>'MoT Travel Input'!$P$6</f>
        <v>Scenario C: the golden triangle</v>
      </c>
      <c r="K259" s="716"/>
      <c r="L259" s="716" t="s">
        <v>250</v>
      </c>
      <c r="M259" s="716"/>
      <c r="N259" s="716"/>
      <c r="O259" s="716"/>
      <c r="P259" s="716"/>
      <c r="Q259" s="716" t="s">
        <v>4</v>
      </c>
      <c r="R259" s="716" t="s">
        <v>26</v>
      </c>
      <c r="S259" s="716"/>
      <c r="T259" s="716"/>
      <c r="U259" s="716"/>
      <c r="V259" s="721"/>
      <c r="W259" s="715"/>
    </row>
    <row r="260" spans="1:23" s="712" customFormat="1" ht="15.5" x14ac:dyDescent="0.35">
      <c r="A260" s="712" t="str">
        <f t="shared" si="4"/>
        <v>Scen4_2_Bike__30-44_f</v>
      </c>
      <c r="B260" s="716"/>
      <c r="C260" s="712" t="s">
        <v>405</v>
      </c>
      <c r="D260" s="716">
        <v>2</v>
      </c>
      <c r="E260" s="716" t="s">
        <v>118</v>
      </c>
      <c r="F260" s="715" t="s">
        <v>379</v>
      </c>
      <c r="G260" s="716"/>
      <c r="H260" s="712" t="str">
        <f>'MoT Travel Input'!$P$6</f>
        <v>Scenario C: the golden triangle</v>
      </c>
      <c r="K260" s="716"/>
      <c r="L260" s="716" t="s">
        <v>250</v>
      </c>
      <c r="M260" s="716"/>
      <c r="N260" s="716"/>
      <c r="O260" s="716"/>
      <c r="P260" s="716"/>
      <c r="Q260" s="716" t="s">
        <v>5</v>
      </c>
      <c r="R260" s="716" t="s">
        <v>26</v>
      </c>
      <c r="S260" s="716"/>
      <c r="T260" s="716"/>
      <c r="U260" s="716"/>
      <c r="V260" s="721"/>
      <c r="W260" s="715"/>
    </row>
    <row r="261" spans="1:23" s="712" customFormat="1" ht="15.5" x14ac:dyDescent="0.35">
      <c r="A261" s="712" t="str">
        <f t="shared" si="4"/>
        <v>Scen4_2_Bike__45-59_f</v>
      </c>
      <c r="B261" s="716"/>
      <c r="C261" s="712" t="s">
        <v>405</v>
      </c>
      <c r="D261" s="716">
        <v>2</v>
      </c>
      <c r="E261" s="716" t="s">
        <v>118</v>
      </c>
      <c r="F261" s="715" t="s">
        <v>379</v>
      </c>
      <c r="G261" s="716"/>
      <c r="H261" s="712" t="str">
        <f>'MoT Travel Input'!$P$6</f>
        <v>Scenario C: the golden triangle</v>
      </c>
      <c r="K261" s="716"/>
      <c r="L261" s="716" t="s">
        <v>250</v>
      </c>
      <c r="M261" s="716"/>
      <c r="N261" s="716"/>
      <c r="O261" s="716"/>
      <c r="P261" s="716"/>
      <c r="Q261" s="716" t="s">
        <v>6</v>
      </c>
      <c r="R261" s="716" t="s">
        <v>26</v>
      </c>
      <c r="S261" s="716"/>
      <c r="T261" s="716"/>
      <c r="U261" s="716"/>
      <c r="V261" s="721"/>
      <c r="W261" s="715"/>
    </row>
    <row r="262" spans="1:23" s="712" customFormat="1" ht="15.5" x14ac:dyDescent="0.35">
      <c r="A262" s="712" t="str">
        <f t="shared" si="4"/>
        <v>Scen4_2_Bike__60-69_f</v>
      </c>
      <c r="B262" s="716"/>
      <c r="C262" s="712" t="s">
        <v>405</v>
      </c>
      <c r="D262" s="716">
        <v>2</v>
      </c>
      <c r="E262" s="716" t="s">
        <v>118</v>
      </c>
      <c r="F262" s="715" t="s">
        <v>379</v>
      </c>
      <c r="G262" s="716"/>
      <c r="H262" s="712" t="str">
        <f>'MoT Travel Input'!$P$6</f>
        <v>Scenario C: the golden triangle</v>
      </c>
      <c r="K262" s="716"/>
      <c r="L262" s="716" t="s">
        <v>250</v>
      </c>
      <c r="M262" s="716"/>
      <c r="N262" s="716"/>
      <c r="O262" s="716"/>
      <c r="P262" s="716"/>
      <c r="Q262" s="716" t="s">
        <v>7</v>
      </c>
      <c r="R262" s="716" t="s">
        <v>26</v>
      </c>
      <c r="S262" s="716"/>
      <c r="T262" s="716"/>
      <c r="U262" s="716"/>
      <c r="V262" s="721"/>
      <c r="W262" s="715"/>
    </row>
    <row r="263" spans="1:23" s="712" customFormat="1" ht="15.5" x14ac:dyDescent="0.35">
      <c r="A263" s="712" t="str">
        <f t="shared" si="4"/>
        <v>Scen4_2_Bike__70-79_f</v>
      </c>
      <c r="B263" s="716"/>
      <c r="C263" s="712" t="s">
        <v>405</v>
      </c>
      <c r="D263" s="716">
        <v>2</v>
      </c>
      <c r="E263" s="716" t="s">
        <v>118</v>
      </c>
      <c r="F263" s="715" t="s">
        <v>379</v>
      </c>
      <c r="G263" s="716"/>
      <c r="H263" s="712" t="str">
        <f>'MoT Travel Input'!$P$6</f>
        <v>Scenario C: the golden triangle</v>
      </c>
      <c r="K263" s="716"/>
      <c r="L263" s="716" t="s">
        <v>250</v>
      </c>
      <c r="M263" s="716"/>
      <c r="N263" s="716"/>
      <c r="O263" s="716"/>
      <c r="P263" s="716"/>
      <c r="Q263" s="716" t="s">
        <v>8</v>
      </c>
      <c r="R263" s="716" t="s">
        <v>26</v>
      </c>
      <c r="S263" s="716"/>
      <c r="T263" s="716"/>
      <c r="U263" s="716"/>
      <c r="V263" s="721"/>
      <c r="W263" s="715"/>
    </row>
    <row r="264" spans="1:23" s="712" customFormat="1" ht="15.5" x14ac:dyDescent="0.35">
      <c r="A264" s="712" t="str">
        <f t="shared" si="4"/>
        <v>Scen4_2_Bike__80+_f</v>
      </c>
      <c r="B264" s="716"/>
      <c r="C264" s="712" t="s">
        <v>405</v>
      </c>
      <c r="D264" s="716">
        <v>2</v>
      </c>
      <c r="E264" s="716" t="s">
        <v>118</v>
      </c>
      <c r="F264" s="715" t="s">
        <v>379</v>
      </c>
      <c r="G264" s="716"/>
      <c r="H264" s="712" t="str">
        <f>'MoT Travel Input'!$P$6</f>
        <v>Scenario C: the golden triangle</v>
      </c>
      <c r="K264" s="716"/>
      <c r="L264" s="716" t="s">
        <v>250</v>
      </c>
      <c r="M264" s="716"/>
      <c r="N264" s="716"/>
      <c r="O264" s="716"/>
      <c r="P264" s="716"/>
      <c r="Q264" s="716" t="s">
        <v>9</v>
      </c>
      <c r="R264" s="716" t="s">
        <v>26</v>
      </c>
      <c r="S264" s="716"/>
      <c r="T264" s="716"/>
      <c r="U264" s="716"/>
      <c r="V264" s="721"/>
      <c r="W264" s="715"/>
    </row>
    <row r="265" spans="1:23" s="712" customFormat="1" ht="15.5" x14ac:dyDescent="0.35">
      <c r="A265" s="712" t="str">
        <f t="shared" si="4"/>
        <v>Scen4_2_Bike__00-04_m</v>
      </c>
      <c r="B265" s="716"/>
      <c r="C265" s="712" t="s">
        <v>405</v>
      </c>
      <c r="D265" s="716">
        <v>2</v>
      </c>
      <c r="E265" s="716" t="s">
        <v>118</v>
      </c>
      <c r="F265" s="715" t="s">
        <v>379</v>
      </c>
      <c r="G265" s="716"/>
      <c r="H265" s="712" t="str">
        <f>'MoT Travel Input'!$P$6</f>
        <v>Scenario C: the golden triangle</v>
      </c>
      <c r="K265" s="716"/>
      <c r="L265" s="716" t="s">
        <v>250</v>
      </c>
      <c r="M265" s="716"/>
      <c r="N265" s="716"/>
      <c r="O265" s="716"/>
      <c r="P265" s="716"/>
      <c r="Q265" s="716" t="s">
        <v>196</v>
      </c>
      <c r="R265" s="716" t="s">
        <v>25</v>
      </c>
      <c r="S265" s="716"/>
      <c r="T265" s="716"/>
      <c r="U265" s="716"/>
      <c r="V265" s="721"/>
      <c r="W265" s="715"/>
    </row>
    <row r="266" spans="1:23" s="712" customFormat="1" ht="15.5" x14ac:dyDescent="0.35">
      <c r="A266" s="712" t="str">
        <f t="shared" si="4"/>
        <v>Scen4_2_Bike__05-14_m</v>
      </c>
      <c r="B266" s="716"/>
      <c r="C266" s="712" t="s">
        <v>405</v>
      </c>
      <c r="D266" s="716">
        <v>2</v>
      </c>
      <c r="E266" s="716" t="s">
        <v>118</v>
      </c>
      <c r="F266" s="715" t="s">
        <v>379</v>
      </c>
      <c r="G266" s="716"/>
      <c r="H266" s="712" t="str">
        <f>'MoT Travel Input'!$P$6</f>
        <v>Scenario C: the golden triangle</v>
      </c>
      <c r="K266" s="716"/>
      <c r="L266" s="716" t="s">
        <v>250</v>
      </c>
      <c r="M266" s="716"/>
      <c r="N266" s="716"/>
      <c r="O266" s="716"/>
      <c r="P266" s="716"/>
      <c r="Q266" s="716" t="s">
        <v>191</v>
      </c>
      <c r="R266" s="716" t="s">
        <v>25</v>
      </c>
      <c r="S266" s="716"/>
      <c r="T266" s="716"/>
      <c r="U266" s="716"/>
      <c r="V266" s="721"/>
      <c r="W266" s="715"/>
    </row>
    <row r="267" spans="1:23" s="712" customFormat="1" ht="15.5" x14ac:dyDescent="0.35">
      <c r="A267" s="712" t="str">
        <f t="shared" si="4"/>
        <v>Scen4_2_Bike__15-29_m</v>
      </c>
      <c r="B267" s="716"/>
      <c r="C267" s="712" t="s">
        <v>405</v>
      </c>
      <c r="D267" s="716">
        <v>2</v>
      </c>
      <c r="E267" s="716" t="s">
        <v>118</v>
      </c>
      <c r="F267" s="715" t="s">
        <v>379</v>
      </c>
      <c r="G267" s="716"/>
      <c r="H267" s="712" t="str">
        <f>'MoT Travel Input'!$P$6</f>
        <v>Scenario C: the golden triangle</v>
      </c>
      <c r="K267" s="716"/>
      <c r="L267" s="716" t="s">
        <v>250</v>
      </c>
      <c r="M267" s="716"/>
      <c r="N267" s="716"/>
      <c r="O267" s="716"/>
      <c r="P267" s="716"/>
      <c r="Q267" s="716" t="s">
        <v>4</v>
      </c>
      <c r="R267" s="716" t="s">
        <v>25</v>
      </c>
      <c r="S267" s="716"/>
      <c r="T267" s="716"/>
      <c r="U267" s="716"/>
      <c r="V267" s="721"/>
      <c r="W267" s="715"/>
    </row>
    <row r="268" spans="1:23" s="712" customFormat="1" ht="15.5" x14ac:dyDescent="0.35">
      <c r="A268" s="712" t="str">
        <f t="shared" si="4"/>
        <v>Scen4_2_Bike__30-44_m</v>
      </c>
      <c r="B268" s="716"/>
      <c r="C268" s="712" t="s">
        <v>405</v>
      </c>
      <c r="D268" s="716">
        <v>2</v>
      </c>
      <c r="E268" s="716" t="s">
        <v>118</v>
      </c>
      <c r="F268" s="715" t="s">
        <v>379</v>
      </c>
      <c r="G268" s="716"/>
      <c r="H268" s="712" t="str">
        <f>'MoT Travel Input'!$P$6</f>
        <v>Scenario C: the golden triangle</v>
      </c>
      <c r="K268" s="716"/>
      <c r="L268" s="716" t="s">
        <v>250</v>
      </c>
      <c r="M268" s="716"/>
      <c r="N268" s="716"/>
      <c r="O268" s="716"/>
      <c r="P268" s="716"/>
      <c r="Q268" s="716" t="s">
        <v>5</v>
      </c>
      <c r="R268" s="716" t="s">
        <v>25</v>
      </c>
      <c r="S268" s="716"/>
      <c r="T268" s="716"/>
      <c r="U268" s="716"/>
      <c r="V268" s="721"/>
      <c r="W268" s="715"/>
    </row>
    <row r="269" spans="1:23" s="712" customFormat="1" ht="15.5" x14ac:dyDescent="0.35">
      <c r="A269" s="712" t="str">
        <f t="shared" si="4"/>
        <v>Scen4_2_Bike__45-59_m</v>
      </c>
      <c r="B269" s="716"/>
      <c r="C269" s="712" t="s">
        <v>405</v>
      </c>
      <c r="D269" s="716">
        <v>2</v>
      </c>
      <c r="E269" s="716" t="s">
        <v>118</v>
      </c>
      <c r="F269" s="715" t="s">
        <v>379</v>
      </c>
      <c r="G269" s="716"/>
      <c r="H269" s="712" t="str">
        <f>'MoT Travel Input'!$P$6</f>
        <v>Scenario C: the golden triangle</v>
      </c>
      <c r="K269" s="716"/>
      <c r="L269" s="716" t="s">
        <v>250</v>
      </c>
      <c r="M269" s="716"/>
      <c r="N269" s="716"/>
      <c r="O269" s="716"/>
      <c r="P269" s="716"/>
      <c r="Q269" s="716" t="s">
        <v>6</v>
      </c>
      <c r="R269" s="716" t="s">
        <v>25</v>
      </c>
      <c r="S269" s="716"/>
      <c r="T269" s="716"/>
      <c r="U269" s="716"/>
      <c r="V269" s="721"/>
      <c r="W269" s="715"/>
    </row>
    <row r="270" spans="1:23" s="712" customFormat="1" ht="15.5" x14ac:dyDescent="0.35">
      <c r="A270" s="712" t="str">
        <f t="shared" si="4"/>
        <v>Scen4_2_Bike__60-69_m</v>
      </c>
      <c r="B270" s="716"/>
      <c r="C270" s="712" t="s">
        <v>405</v>
      </c>
      <c r="D270" s="716">
        <v>2</v>
      </c>
      <c r="E270" s="716" t="s">
        <v>118</v>
      </c>
      <c r="F270" s="715" t="s">
        <v>379</v>
      </c>
      <c r="G270" s="716"/>
      <c r="H270" s="712" t="str">
        <f>'MoT Travel Input'!$P$6</f>
        <v>Scenario C: the golden triangle</v>
      </c>
      <c r="K270" s="716"/>
      <c r="L270" s="716" t="s">
        <v>250</v>
      </c>
      <c r="M270" s="716"/>
      <c r="N270" s="716"/>
      <c r="O270" s="716"/>
      <c r="P270" s="716"/>
      <c r="Q270" s="716" t="s">
        <v>7</v>
      </c>
      <c r="R270" s="716" t="s">
        <v>25</v>
      </c>
      <c r="S270" s="716"/>
      <c r="T270" s="716"/>
      <c r="U270" s="716"/>
      <c r="V270" s="721"/>
      <c r="W270" s="715"/>
    </row>
    <row r="271" spans="1:23" s="712" customFormat="1" ht="15.5" x14ac:dyDescent="0.35">
      <c r="A271" s="712" t="str">
        <f t="shared" si="4"/>
        <v>Scen4_2_Bike__70-79_m</v>
      </c>
      <c r="B271" s="716"/>
      <c r="C271" s="712" t="s">
        <v>405</v>
      </c>
      <c r="D271" s="716">
        <v>2</v>
      </c>
      <c r="E271" s="716" t="s">
        <v>118</v>
      </c>
      <c r="F271" s="715" t="s">
        <v>379</v>
      </c>
      <c r="G271" s="716"/>
      <c r="H271" s="712" t="str">
        <f>'MoT Travel Input'!$P$6</f>
        <v>Scenario C: the golden triangle</v>
      </c>
      <c r="K271" s="716"/>
      <c r="L271" s="716" t="s">
        <v>250</v>
      </c>
      <c r="M271" s="716"/>
      <c r="N271" s="716"/>
      <c r="O271" s="716"/>
      <c r="P271" s="716"/>
      <c r="Q271" s="716" t="s">
        <v>8</v>
      </c>
      <c r="R271" s="716" t="s">
        <v>25</v>
      </c>
      <c r="S271" s="716"/>
      <c r="T271" s="716"/>
      <c r="U271" s="716"/>
      <c r="V271" s="721"/>
      <c r="W271" s="715"/>
    </row>
    <row r="272" spans="1:23" s="712" customFormat="1" ht="15.5" x14ac:dyDescent="0.35">
      <c r="A272" s="712" t="str">
        <f t="shared" si="4"/>
        <v>Scen4_2_Bike__80+_m</v>
      </c>
      <c r="B272" s="716"/>
      <c r="C272" s="712" t="s">
        <v>405</v>
      </c>
      <c r="D272" s="716">
        <v>2</v>
      </c>
      <c r="E272" s="716" t="s">
        <v>118</v>
      </c>
      <c r="F272" s="715" t="s">
        <v>379</v>
      </c>
      <c r="G272" s="716"/>
      <c r="H272" s="712" t="str">
        <f>'MoT Travel Input'!$P$6</f>
        <v>Scenario C: the golden triangle</v>
      </c>
      <c r="K272" s="716"/>
      <c r="L272" s="716" t="s">
        <v>250</v>
      </c>
      <c r="M272" s="716"/>
      <c r="N272" s="716"/>
      <c r="O272" s="716"/>
      <c r="P272" s="716"/>
      <c r="Q272" s="716" t="s">
        <v>9</v>
      </c>
      <c r="R272" s="716" t="s">
        <v>25</v>
      </c>
      <c r="S272" s="716"/>
      <c r="T272" s="716"/>
      <c r="U272" s="716"/>
      <c r="V272" s="721"/>
      <c r="W272" s="715"/>
    </row>
    <row r="273" spans="1:23" s="712" customFormat="1" ht="15.5" x14ac:dyDescent="0.35">
      <c r="A273" s="712" t="str">
        <f t="shared" si="4"/>
        <v>Scen4_2_Walk__00-04_f</v>
      </c>
      <c r="B273" s="716"/>
      <c r="C273" s="712" t="s">
        <v>405</v>
      </c>
      <c r="D273" s="716">
        <v>2</v>
      </c>
      <c r="E273" s="716" t="s">
        <v>118</v>
      </c>
      <c r="F273" s="715" t="s">
        <v>379</v>
      </c>
      <c r="G273" s="716"/>
      <c r="H273" s="712" t="str">
        <f>'MoT Travel Input'!$P$6</f>
        <v>Scenario C: the golden triangle</v>
      </c>
      <c r="K273" s="716"/>
      <c r="L273" s="716" t="s">
        <v>249</v>
      </c>
      <c r="M273" s="716"/>
      <c r="N273" s="716"/>
      <c r="O273" s="716"/>
      <c r="P273" s="716"/>
      <c r="Q273" s="716" t="s">
        <v>196</v>
      </c>
      <c r="R273" s="716" t="s">
        <v>26</v>
      </c>
      <c r="S273" s="716"/>
      <c r="T273" s="716"/>
      <c r="U273" s="716"/>
      <c r="V273" s="721"/>
      <c r="W273" s="715"/>
    </row>
    <row r="274" spans="1:23" s="712" customFormat="1" ht="15.5" x14ac:dyDescent="0.35">
      <c r="A274" s="712" t="str">
        <f t="shared" si="4"/>
        <v>Scen4_2_Walk__05-14_f</v>
      </c>
      <c r="B274" s="716"/>
      <c r="C274" s="712" t="s">
        <v>405</v>
      </c>
      <c r="D274" s="716">
        <v>2</v>
      </c>
      <c r="E274" s="716" t="s">
        <v>118</v>
      </c>
      <c r="F274" s="715" t="s">
        <v>379</v>
      </c>
      <c r="G274" s="716"/>
      <c r="H274" s="712" t="str">
        <f>'MoT Travel Input'!$P$6</f>
        <v>Scenario C: the golden triangle</v>
      </c>
      <c r="K274" s="716"/>
      <c r="L274" s="716" t="s">
        <v>249</v>
      </c>
      <c r="M274" s="716"/>
      <c r="N274" s="716"/>
      <c r="O274" s="716"/>
      <c r="P274" s="716"/>
      <c r="Q274" s="716" t="s">
        <v>191</v>
      </c>
      <c r="R274" s="716" t="s">
        <v>26</v>
      </c>
      <c r="S274" s="716"/>
      <c r="T274" s="716"/>
      <c r="U274" s="716"/>
      <c r="V274" s="721"/>
      <c r="W274" s="715"/>
    </row>
    <row r="275" spans="1:23" s="712" customFormat="1" ht="15.5" x14ac:dyDescent="0.35">
      <c r="A275" s="712" t="str">
        <f t="shared" si="4"/>
        <v>Scen4_2_Walk__15-29_f</v>
      </c>
      <c r="B275" s="716"/>
      <c r="C275" s="712" t="s">
        <v>405</v>
      </c>
      <c r="D275" s="716">
        <v>2</v>
      </c>
      <c r="E275" s="716" t="s">
        <v>118</v>
      </c>
      <c r="F275" s="715" t="s">
        <v>379</v>
      </c>
      <c r="G275" s="716"/>
      <c r="H275" s="712" t="str">
        <f>'MoT Travel Input'!$P$6</f>
        <v>Scenario C: the golden triangle</v>
      </c>
      <c r="K275" s="716"/>
      <c r="L275" s="716" t="s">
        <v>249</v>
      </c>
      <c r="M275" s="716"/>
      <c r="N275" s="716"/>
      <c r="O275" s="716"/>
      <c r="P275" s="716"/>
      <c r="Q275" s="716" t="s">
        <v>4</v>
      </c>
      <c r="R275" s="716" t="s">
        <v>26</v>
      </c>
      <c r="S275" s="716"/>
      <c r="T275" s="716"/>
      <c r="U275" s="716"/>
      <c r="V275" s="721"/>
      <c r="W275" s="715"/>
    </row>
    <row r="276" spans="1:23" s="712" customFormat="1" ht="15.5" x14ac:dyDescent="0.35">
      <c r="A276" s="712" t="str">
        <f t="shared" si="4"/>
        <v>Scen4_2_Walk__30-44_f</v>
      </c>
      <c r="B276" s="716"/>
      <c r="C276" s="712" t="s">
        <v>405</v>
      </c>
      <c r="D276" s="716">
        <v>2</v>
      </c>
      <c r="E276" s="716" t="s">
        <v>118</v>
      </c>
      <c r="F276" s="715" t="s">
        <v>379</v>
      </c>
      <c r="G276" s="716"/>
      <c r="H276" s="712" t="str">
        <f>'MoT Travel Input'!$P$6</f>
        <v>Scenario C: the golden triangle</v>
      </c>
      <c r="K276" s="716"/>
      <c r="L276" s="716" t="s">
        <v>249</v>
      </c>
      <c r="M276" s="716"/>
      <c r="N276" s="716"/>
      <c r="O276" s="716"/>
      <c r="P276" s="716"/>
      <c r="Q276" s="716" t="s">
        <v>5</v>
      </c>
      <c r="R276" s="716" t="s">
        <v>26</v>
      </c>
      <c r="S276" s="716"/>
      <c r="T276" s="716"/>
      <c r="U276" s="716"/>
      <c r="V276" s="721"/>
      <c r="W276" s="715"/>
    </row>
    <row r="277" spans="1:23" s="712" customFormat="1" ht="15.5" x14ac:dyDescent="0.35">
      <c r="A277" s="712" t="str">
        <f t="shared" si="4"/>
        <v>Scen4_2_Walk__45-59_f</v>
      </c>
      <c r="B277" s="716"/>
      <c r="C277" s="712" t="s">
        <v>405</v>
      </c>
      <c r="D277" s="716">
        <v>2</v>
      </c>
      <c r="E277" s="716" t="s">
        <v>118</v>
      </c>
      <c r="F277" s="715" t="s">
        <v>379</v>
      </c>
      <c r="G277" s="716"/>
      <c r="H277" s="712" t="str">
        <f>'MoT Travel Input'!$P$6</f>
        <v>Scenario C: the golden triangle</v>
      </c>
      <c r="K277" s="716"/>
      <c r="L277" s="716" t="s">
        <v>249</v>
      </c>
      <c r="M277" s="716"/>
      <c r="N277" s="716"/>
      <c r="O277" s="716"/>
      <c r="P277" s="716"/>
      <c r="Q277" s="716" t="s">
        <v>6</v>
      </c>
      <c r="R277" s="716" t="s">
        <v>26</v>
      </c>
      <c r="S277" s="716"/>
      <c r="T277" s="716"/>
      <c r="U277" s="716"/>
      <c r="V277" s="721"/>
      <c r="W277" s="715"/>
    </row>
    <row r="278" spans="1:23" s="712" customFormat="1" ht="15.5" x14ac:dyDescent="0.35">
      <c r="A278" s="712" t="str">
        <f t="shared" si="4"/>
        <v>Scen4_2_Walk__60-69_f</v>
      </c>
      <c r="B278" s="716"/>
      <c r="C278" s="712" t="s">
        <v>405</v>
      </c>
      <c r="D278" s="716">
        <v>2</v>
      </c>
      <c r="E278" s="716" t="s">
        <v>118</v>
      </c>
      <c r="F278" s="715" t="s">
        <v>379</v>
      </c>
      <c r="G278" s="716"/>
      <c r="H278" s="712" t="str">
        <f>'MoT Travel Input'!$P$6</f>
        <v>Scenario C: the golden triangle</v>
      </c>
      <c r="K278" s="716"/>
      <c r="L278" s="716" t="s">
        <v>249</v>
      </c>
      <c r="M278" s="716"/>
      <c r="N278" s="716"/>
      <c r="O278" s="716"/>
      <c r="P278" s="716"/>
      <c r="Q278" s="716" t="s">
        <v>7</v>
      </c>
      <c r="R278" s="716" t="s">
        <v>26</v>
      </c>
      <c r="S278" s="716"/>
      <c r="T278" s="716"/>
      <c r="U278" s="716"/>
      <c r="V278" s="721"/>
      <c r="W278" s="715"/>
    </row>
    <row r="279" spans="1:23" s="712" customFormat="1" ht="15.5" x14ac:dyDescent="0.35">
      <c r="A279" s="712" t="str">
        <f t="shared" si="4"/>
        <v>Scen4_2_Walk__70-79_f</v>
      </c>
      <c r="B279" s="716"/>
      <c r="C279" s="712" t="s">
        <v>405</v>
      </c>
      <c r="D279" s="716">
        <v>2</v>
      </c>
      <c r="E279" s="716" t="s">
        <v>118</v>
      </c>
      <c r="F279" s="715" t="s">
        <v>379</v>
      </c>
      <c r="G279" s="716"/>
      <c r="H279" s="712" t="str">
        <f>'MoT Travel Input'!$P$6</f>
        <v>Scenario C: the golden triangle</v>
      </c>
      <c r="K279" s="716"/>
      <c r="L279" s="716" t="s">
        <v>249</v>
      </c>
      <c r="M279" s="716"/>
      <c r="N279" s="716"/>
      <c r="O279" s="716"/>
      <c r="P279" s="716"/>
      <c r="Q279" s="716" t="s">
        <v>8</v>
      </c>
      <c r="R279" s="716" t="s">
        <v>26</v>
      </c>
      <c r="S279" s="716"/>
      <c r="T279" s="716"/>
      <c r="U279" s="716"/>
      <c r="V279" s="721"/>
      <c r="W279" s="715"/>
    </row>
    <row r="280" spans="1:23" s="712" customFormat="1" ht="15.5" x14ac:dyDescent="0.35">
      <c r="A280" s="712" t="str">
        <f t="shared" si="4"/>
        <v>Scen4_2_Walk__80+_f</v>
      </c>
      <c r="B280" s="716"/>
      <c r="C280" s="712" t="s">
        <v>405</v>
      </c>
      <c r="D280" s="716">
        <v>2</v>
      </c>
      <c r="E280" s="716" t="s">
        <v>118</v>
      </c>
      <c r="F280" s="715" t="s">
        <v>379</v>
      </c>
      <c r="G280" s="716"/>
      <c r="H280" s="712" t="str">
        <f>'MoT Travel Input'!$P$6</f>
        <v>Scenario C: the golden triangle</v>
      </c>
      <c r="K280" s="716"/>
      <c r="L280" s="716" t="s">
        <v>249</v>
      </c>
      <c r="M280" s="716"/>
      <c r="N280" s="716"/>
      <c r="O280" s="716"/>
      <c r="P280" s="716"/>
      <c r="Q280" s="716" t="s">
        <v>9</v>
      </c>
      <c r="R280" s="716" t="s">
        <v>26</v>
      </c>
      <c r="S280" s="716"/>
      <c r="T280" s="716"/>
      <c r="U280" s="716"/>
      <c r="V280" s="721"/>
      <c r="W280" s="715"/>
    </row>
    <row r="281" spans="1:23" s="712" customFormat="1" ht="15.5" x14ac:dyDescent="0.35">
      <c r="A281" s="712" t="str">
        <f t="shared" si="4"/>
        <v>Scen4_2_Walk__00-04_m</v>
      </c>
      <c r="B281" s="716"/>
      <c r="C281" s="712" t="s">
        <v>405</v>
      </c>
      <c r="D281" s="716">
        <v>2</v>
      </c>
      <c r="E281" s="716" t="s">
        <v>118</v>
      </c>
      <c r="F281" s="715" t="s">
        <v>379</v>
      </c>
      <c r="G281" s="716"/>
      <c r="H281" s="712" t="str">
        <f>'MoT Travel Input'!$P$6</f>
        <v>Scenario C: the golden triangle</v>
      </c>
      <c r="K281" s="716"/>
      <c r="L281" s="716" t="s">
        <v>249</v>
      </c>
      <c r="M281" s="716"/>
      <c r="N281" s="716"/>
      <c r="O281" s="716"/>
      <c r="P281" s="716"/>
      <c r="Q281" s="716" t="s">
        <v>196</v>
      </c>
      <c r="R281" s="716" t="s">
        <v>25</v>
      </c>
      <c r="S281" s="716"/>
      <c r="T281" s="716"/>
      <c r="U281" s="716"/>
      <c r="V281" s="721"/>
      <c r="W281" s="715"/>
    </row>
    <row r="282" spans="1:23" s="712" customFormat="1" ht="15.5" x14ac:dyDescent="0.35">
      <c r="A282" s="712" t="str">
        <f t="shared" si="4"/>
        <v>Scen4_2_Walk__05-14_m</v>
      </c>
      <c r="B282" s="716"/>
      <c r="C282" s="712" t="s">
        <v>405</v>
      </c>
      <c r="D282" s="716">
        <v>2</v>
      </c>
      <c r="E282" s="716" t="s">
        <v>118</v>
      </c>
      <c r="F282" s="715" t="s">
        <v>379</v>
      </c>
      <c r="G282" s="716"/>
      <c r="H282" s="712" t="str">
        <f>'MoT Travel Input'!$P$6</f>
        <v>Scenario C: the golden triangle</v>
      </c>
      <c r="K282" s="716"/>
      <c r="L282" s="716" t="s">
        <v>249</v>
      </c>
      <c r="M282" s="716"/>
      <c r="N282" s="716"/>
      <c r="O282" s="716"/>
      <c r="P282" s="716"/>
      <c r="Q282" s="716" t="s">
        <v>191</v>
      </c>
      <c r="R282" s="716" t="s">
        <v>25</v>
      </c>
      <c r="S282" s="716"/>
      <c r="T282" s="716"/>
      <c r="U282" s="716"/>
      <c r="V282" s="721"/>
      <c r="W282" s="715"/>
    </row>
    <row r="283" spans="1:23" s="712" customFormat="1" ht="15.5" x14ac:dyDescent="0.35">
      <c r="A283" s="712" t="str">
        <f t="shared" si="4"/>
        <v>Scen4_2_Walk__15-29_m</v>
      </c>
      <c r="B283" s="716"/>
      <c r="C283" s="712" t="s">
        <v>405</v>
      </c>
      <c r="D283" s="716">
        <v>2</v>
      </c>
      <c r="E283" s="716" t="s">
        <v>118</v>
      </c>
      <c r="F283" s="715" t="s">
        <v>379</v>
      </c>
      <c r="G283" s="716"/>
      <c r="H283" s="712" t="str">
        <f>'MoT Travel Input'!$P$6</f>
        <v>Scenario C: the golden triangle</v>
      </c>
      <c r="K283" s="716"/>
      <c r="L283" s="716" t="s">
        <v>249</v>
      </c>
      <c r="M283" s="716"/>
      <c r="N283" s="716"/>
      <c r="O283" s="716"/>
      <c r="P283" s="716"/>
      <c r="Q283" s="716" t="s">
        <v>4</v>
      </c>
      <c r="R283" s="716" t="s">
        <v>25</v>
      </c>
      <c r="S283" s="716"/>
      <c r="T283" s="716"/>
      <c r="U283" s="716"/>
      <c r="V283" s="721"/>
      <c r="W283" s="715"/>
    </row>
    <row r="284" spans="1:23" s="712" customFormat="1" ht="15.5" x14ac:dyDescent="0.35">
      <c r="A284" s="712" t="str">
        <f t="shared" si="4"/>
        <v>Scen4_2_Walk__30-44_m</v>
      </c>
      <c r="B284" s="716"/>
      <c r="C284" s="712" t="s">
        <v>405</v>
      </c>
      <c r="D284" s="716">
        <v>2</v>
      </c>
      <c r="E284" s="716" t="s">
        <v>118</v>
      </c>
      <c r="F284" s="715" t="s">
        <v>379</v>
      </c>
      <c r="G284" s="716"/>
      <c r="H284" s="712" t="str">
        <f>'MoT Travel Input'!$P$6</f>
        <v>Scenario C: the golden triangle</v>
      </c>
      <c r="K284" s="716"/>
      <c r="L284" s="716" t="s">
        <v>249</v>
      </c>
      <c r="M284" s="716"/>
      <c r="N284" s="716"/>
      <c r="O284" s="716"/>
      <c r="P284" s="716"/>
      <c r="Q284" s="716" t="s">
        <v>5</v>
      </c>
      <c r="R284" s="716" t="s">
        <v>25</v>
      </c>
      <c r="S284" s="716"/>
      <c r="T284" s="716"/>
      <c r="U284" s="716"/>
      <c r="V284" s="721"/>
      <c r="W284" s="715"/>
    </row>
    <row r="285" spans="1:23" s="712" customFormat="1" ht="15.5" x14ac:dyDescent="0.35">
      <c r="A285" s="712" t="str">
        <f t="shared" si="4"/>
        <v>Scen4_2_Walk__45-59_m</v>
      </c>
      <c r="B285" s="716"/>
      <c r="C285" s="712" t="s">
        <v>405</v>
      </c>
      <c r="D285" s="716">
        <v>2</v>
      </c>
      <c r="E285" s="716" t="s">
        <v>118</v>
      </c>
      <c r="F285" s="715" t="s">
        <v>379</v>
      </c>
      <c r="G285" s="716"/>
      <c r="H285" s="712" t="str">
        <f>'MoT Travel Input'!$P$6</f>
        <v>Scenario C: the golden triangle</v>
      </c>
      <c r="K285" s="716"/>
      <c r="L285" s="716" t="s">
        <v>249</v>
      </c>
      <c r="M285" s="716"/>
      <c r="N285" s="716"/>
      <c r="O285" s="716"/>
      <c r="P285" s="716"/>
      <c r="Q285" s="716" t="s">
        <v>6</v>
      </c>
      <c r="R285" s="716" t="s">
        <v>25</v>
      </c>
      <c r="S285" s="716"/>
      <c r="T285" s="716"/>
      <c r="U285" s="716"/>
      <c r="V285" s="721"/>
      <c r="W285" s="715"/>
    </row>
    <row r="286" spans="1:23" s="712" customFormat="1" ht="15.5" x14ac:dyDescent="0.35">
      <c r="A286" s="712" t="str">
        <f t="shared" si="4"/>
        <v>Scen4_2_Walk__60-69_m</v>
      </c>
      <c r="B286" s="716"/>
      <c r="C286" s="712" t="s">
        <v>405</v>
      </c>
      <c r="D286" s="716">
        <v>2</v>
      </c>
      <c r="E286" s="716" t="s">
        <v>118</v>
      </c>
      <c r="F286" s="715" t="s">
        <v>379</v>
      </c>
      <c r="G286" s="716"/>
      <c r="H286" s="712" t="str">
        <f>'MoT Travel Input'!$P$6</f>
        <v>Scenario C: the golden triangle</v>
      </c>
      <c r="K286" s="716"/>
      <c r="L286" s="716" t="s">
        <v>249</v>
      </c>
      <c r="M286" s="716"/>
      <c r="N286" s="716"/>
      <c r="O286" s="716"/>
      <c r="P286" s="716"/>
      <c r="Q286" s="716" t="s">
        <v>7</v>
      </c>
      <c r="R286" s="716" t="s">
        <v>25</v>
      </c>
      <c r="S286" s="716"/>
      <c r="T286" s="716"/>
      <c r="U286" s="716"/>
      <c r="V286" s="721"/>
      <c r="W286" s="715"/>
    </row>
    <row r="287" spans="1:23" s="712" customFormat="1" ht="15.5" x14ac:dyDescent="0.35">
      <c r="A287" s="712" t="str">
        <f t="shared" si="4"/>
        <v>Scen4_2_Walk__70-79_m</v>
      </c>
      <c r="B287" s="716"/>
      <c r="C287" s="712" t="s">
        <v>405</v>
      </c>
      <c r="D287" s="716">
        <v>2</v>
      </c>
      <c r="E287" s="716" t="s">
        <v>118</v>
      </c>
      <c r="F287" s="715" t="s">
        <v>379</v>
      </c>
      <c r="G287" s="716"/>
      <c r="H287" s="712" t="str">
        <f>'MoT Travel Input'!$P$6</f>
        <v>Scenario C: the golden triangle</v>
      </c>
      <c r="K287" s="716"/>
      <c r="L287" s="716" t="s">
        <v>249</v>
      </c>
      <c r="M287" s="716"/>
      <c r="N287" s="716"/>
      <c r="O287" s="716"/>
      <c r="P287" s="716"/>
      <c r="Q287" s="716" t="s">
        <v>8</v>
      </c>
      <c r="R287" s="716" t="s">
        <v>25</v>
      </c>
      <c r="S287" s="716"/>
      <c r="T287" s="716"/>
      <c r="U287" s="716"/>
      <c r="V287" s="721"/>
      <c r="W287" s="715"/>
    </row>
    <row r="288" spans="1:23" s="712" customFormat="1" ht="15.5" x14ac:dyDescent="0.35">
      <c r="A288" s="712" t="str">
        <f t="shared" si="4"/>
        <v>Scen4_2_Walk__80+_m</v>
      </c>
      <c r="B288" s="716"/>
      <c r="C288" s="712" t="s">
        <v>405</v>
      </c>
      <c r="D288" s="716">
        <v>2</v>
      </c>
      <c r="E288" s="716" t="s">
        <v>118</v>
      </c>
      <c r="F288" s="715" t="s">
        <v>379</v>
      </c>
      <c r="G288" s="716"/>
      <c r="H288" s="712" t="str">
        <f>'MoT Travel Input'!$P$6</f>
        <v>Scenario C: the golden triangle</v>
      </c>
      <c r="K288" s="716"/>
      <c r="L288" s="716" t="s">
        <v>249</v>
      </c>
      <c r="M288" s="716"/>
      <c r="N288" s="716"/>
      <c r="O288" s="716"/>
      <c r="P288" s="716"/>
      <c r="Q288" s="716" t="s">
        <v>9</v>
      </c>
      <c r="R288" s="716" t="s">
        <v>25</v>
      </c>
      <c r="S288" s="716"/>
      <c r="T288" s="716"/>
      <c r="U288" s="716"/>
      <c r="V288" s="721"/>
      <c r="W288" s="715"/>
    </row>
    <row r="289" spans="1:23" s="727" customFormat="1" ht="15.5" x14ac:dyDescent="0.35">
      <c r="A289" s="723" t="str">
        <f t="shared" ref="A289:A355" si="5">C289&amp;"_"&amp;D289&amp;"_"&amp;L289&amp;"_"&amp;O289&amp;"_"&amp;Q289&amp;"_"&amp;R289</f>
        <v>Scen5_1_walk___</v>
      </c>
      <c r="B289" s="723"/>
      <c r="C289" s="723" t="s">
        <v>406</v>
      </c>
      <c r="D289" s="723">
        <v>1</v>
      </c>
      <c r="E289" s="723" t="s">
        <v>255</v>
      </c>
      <c r="F289" s="723" t="s">
        <v>256</v>
      </c>
      <c r="G289" s="723"/>
      <c r="H289" s="723" t="str">
        <f>'MoT Travel Input'!$P$7</f>
        <v>Scenario D: @home in town and country</v>
      </c>
      <c r="I289" s="723"/>
      <c r="J289" s="723"/>
      <c r="K289" s="723"/>
      <c r="L289" s="723" t="s">
        <v>91</v>
      </c>
      <c r="M289" s="723"/>
      <c r="N289" s="723"/>
      <c r="O289" s="723"/>
      <c r="P289" s="723"/>
      <c r="Q289" s="723"/>
      <c r="R289" s="723"/>
      <c r="S289" s="723"/>
      <c r="T289" s="723"/>
      <c r="U289" s="724">
        <f>'MoT Travel Input'!M3</f>
        <v>6.0966710137699271</v>
      </c>
      <c r="V289" s="725"/>
      <c r="W289" s="726"/>
    </row>
    <row r="290" spans="1:23" s="727" customFormat="1" ht="15.5" x14ac:dyDescent="0.35">
      <c r="A290" s="723" t="str">
        <f t="shared" si="5"/>
        <v>Scen5_1_bike___</v>
      </c>
      <c r="B290" s="723"/>
      <c r="C290" s="723" t="s">
        <v>406</v>
      </c>
      <c r="D290" s="723">
        <v>1</v>
      </c>
      <c r="E290" s="723" t="s">
        <v>255</v>
      </c>
      <c r="F290" s="723" t="s">
        <v>256</v>
      </c>
      <c r="G290" s="723"/>
      <c r="H290" s="723" t="str">
        <f>'MoT Travel Input'!$P$7</f>
        <v>Scenario D: @home in town and country</v>
      </c>
      <c r="I290" s="723"/>
      <c r="J290" s="723"/>
      <c r="K290" s="723"/>
      <c r="L290" s="723" t="s">
        <v>248</v>
      </c>
      <c r="M290" s="723"/>
      <c r="N290" s="723"/>
      <c r="O290" s="723"/>
      <c r="P290" s="723"/>
      <c r="Q290" s="723"/>
      <c r="R290" s="723"/>
      <c r="S290" s="723"/>
      <c r="T290" s="723"/>
      <c r="U290" s="724">
        <f>'MoT Travel Input'!M4</f>
        <v>1.2700083518895828</v>
      </c>
      <c r="V290" s="725"/>
      <c r="W290" s="726"/>
    </row>
    <row r="291" spans="1:23" s="727" customFormat="1" ht="15.5" x14ac:dyDescent="0.35">
      <c r="A291" s="723" t="str">
        <f t="shared" si="5"/>
        <v>Scen5_1_rail___</v>
      </c>
      <c r="B291" s="723"/>
      <c r="C291" s="723" t="s">
        <v>406</v>
      </c>
      <c r="D291" s="723">
        <v>1</v>
      </c>
      <c r="E291" s="723" t="s">
        <v>255</v>
      </c>
      <c r="F291" s="723" t="s">
        <v>256</v>
      </c>
      <c r="G291" s="723"/>
      <c r="H291" s="723" t="str">
        <f>'MoT Travel Input'!$P$7</f>
        <v>Scenario D: @home in town and country</v>
      </c>
      <c r="I291" s="723"/>
      <c r="J291" s="723"/>
      <c r="K291" s="723"/>
      <c r="L291" s="723" t="s">
        <v>193</v>
      </c>
      <c r="M291" s="723"/>
      <c r="N291" s="723"/>
      <c r="O291" s="723"/>
      <c r="P291" s="723"/>
      <c r="Q291" s="723"/>
      <c r="R291" s="723"/>
      <c r="S291" s="723"/>
      <c r="T291" s="723"/>
      <c r="U291" s="724">
        <f>'MoT Travel Input'!M5</f>
        <v>1.095024150052708</v>
      </c>
      <c r="V291" s="725"/>
      <c r="W291" s="726"/>
    </row>
    <row r="292" spans="1:23" s="727" customFormat="1" ht="15.5" x14ac:dyDescent="0.35">
      <c r="A292" s="723" t="str">
        <f t="shared" si="5"/>
        <v>Scen5_1_bus___</v>
      </c>
      <c r="B292" s="723"/>
      <c r="C292" s="723" t="s">
        <v>406</v>
      </c>
      <c r="D292" s="723">
        <v>1</v>
      </c>
      <c r="E292" s="723" t="s">
        <v>255</v>
      </c>
      <c r="F292" s="723" t="s">
        <v>256</v>
      </c>
      <c r="G292" s="723"/>
      <c r="H292" s="723" t="str">
        <f>'MoT Travel Input'!$P$7</f>
        <v>Scenario D: @home in town and country</v>
      </c>
      <c r="I292" s="723"/>
      <c r="J292" s="723"/>
      <c r="K292" s="723"/>
      <c r="L292" s="723" t="s">
        <v>93</v>
      </c>
      <c r="M292" s="723"/>
      <c r="N292" s="723"/>
      <c r="O292" s="723"/>
      <c r="P292" s="723"/>
      <c r="Q292" s="723"/>
      <c r="R292" s="723"/>
      <c r="S292" s="723"/>
      <c r="T292" s="723"/>
      <c r="U292" s="724">
        <f>'MoT Travel Input'!M6</f>
        <v>1.5682684154802842</v>
      </c>
      <c r="V292" s="725"/>
      <c r="W292" s="726"/>
    </row>
    <row r="293" spans="1:23" s="727" customFormat="1" ht="15.5" x14ac:dyDescent="0.35">
      <c r="A293" s="723" t="str">
        <f t="shared" si="5"/>
        <v>Scen5_1_other___</v>
      </c>
      <c r="B293" s="723"/>
      <c r="C293" s="723" t="s">
        <v>406</v>
      </c>
      <c r="D293" s="723">
        <v>1</v>
      </c>
      <c r="E293" s="723" t="s">
        <v>255</v>
      </c>
      <c r="F293" s="723" t="s">
        <v>256</v>
      </c>
      <c r="G293" s="723"/>
      <c r="H293" s="723" t="str">
        <f>'MoT Travel Input'!$P$7</f>
        <v>Scenario D: @home in town and country</v>
      </c>
      <c r="I293" s="723"/>
      <c r="J293" s="723"/>
      <c r="K293" s="723"/>
      <c r="L293" s="723" t="s">
        <v>194</v>
      </c>
      <c r="M293" s="723"/>
      <c r="N293" s="723"/>
      <c r="O293" s="723"/>
      <c r="P293" s="723"/>
      <c r="Q293" s="723"/>
      <c r="R293" s="723"/>
      <c r="S293" s="723"/>
      <c r="T293" s="723"/>
      <c r="U293" s="724">
        <f>'MoT Travel Input'!M7</f>
        <v>0.59728207786820597</v>
      </c>
      <c r="V293" s="725"/>
      <c r="W293" s="726"/>
    </row>
    <row r="294" spans="1:23" s="727" customFormat="1" ht="15.5" x14ac:dyDescent="0.35">
      <c r="A294" s="723" t="str">
        <f t="shared" si="5"/>
        <v>Scen5_1_auto (driver)___</v>
      </c>
      <c r="B294" s="723"/>
      <c r="C294" s="723" t="s">
        <v>406</v>
      </c>
      <c r="D294" s="723">
        <v>1</v>
      </c>
      <c r="E294" s="723" t="s">
        <v>255</v>
      </c>
      <c r="F294" s="723" t="s">
        <v>256</v>
      </c>
      <c r="G294" s="723"/>
      <c r="H294" s="723" t="str">
        <f>'MoT Travel Input'!$P$7</f>
        <v>Scenario D: @home in town and country</v>
      </c>
      <c r="I294" s="723"/>
      <c r="J294" s="723"/>
      <c r="K294" s="723"/>
      <c r="L294" s="723" t="s">
        <v>251</v>
      </c>
      <c r="M294" s="723"/>
      <c r="N294" s="723"/>
      <c r="O294" s="723"/>
      <c r="P294" s="723"/>
      <c r="Q294" s="723"/>
      <c r="R294" s="723"/>
      <c r="S294" s="723"/>
      <c r="T294" s="723"/>
      <c r="U294" s="724">
        <f>'MoT Travel Input'!M8</f>
        <v>26.491756131612114</v>
      </c>
      <c r="V294" s="725"/>
      <c r="W294" s="726"/>
    </row>
    <row r="295" spans="1:23" s="727" customFormat="1" ht="15.5" x14ac:dyDescent="0.35">
      <c r="A295" s="723" t="str">
        <f t="shared" si="5"/>
        <v>Scen5_1_auto (passenger)___</v>
      </c>
      <c r="B295" s="723"/>
      <c r="C295" s="723" t="s">
        <v>406</v>
      </c>
      <c r="D295" s="723">
        <v>1</v>
      </c>
      <c r="E295" s="723" t="s">
        <v>255</v>
      </c>
      <c r="F295" s="723" t="s">
        <v>256</v>
      </c>
      <c r="G295" s="723"/>
      <c r="H295" s="723" t="str">
        <f>'MoT Travel Input'!$P$7</f>
        <v>Scenario D: @home in town and country</v>
      </c>
      <c r="I295" s="723"/>
      <c r="J295" s="723"/>
      <c r="K295" s="723"/>
      <c r="L295" s="723" t="s">
        <v>252</v>
      </c>
      <c r="M295" s="723"/>
      <c r="N295" s="723"/>
      <c r="O295" s="723"/>
      <c r="P295" s="723"/>
      <c r="Q295" s="723"/>
      <c r="R295" s="723"/>
      <c r="S295" s="723"/>
      <c r="T295" s="723"/>
      <c r="U295" s="724">
        <f>'MoT Travel Input'!M9</f>
        <v>12.135809648548396</v>
      </c>
      <c r="V295" s="725"/>
      <c r="W295" s="726"/>
    </row>
    <row r="296" spans="1:23" s="727" customFormat="1" ht="15.5" x14ac:dyDescent="0.35">
      <c r="A296" s="723" t="str">
        <f t="shared" si="5"/>
        <v>Scen5_3_walk___</v>
      </c>
      <c r="B296" s="723"/>
      <c r="C296" s="723" t="s">
        <v>406</v>
      </c>
      <c r="D296" s="723">
        <v>3</v>
      </c>
      <c r="E296" s="723" t="s">
        <v>257</v>
      </c>
      <c r="F296" s="728" t="s">
        <v>368</v>
      </c>
      <c r="G296" s="723"/>
      <c r="H296" s="723" t="str">
        <f>'MoT Travel Input'!$P$7</f>
        <v>Scenario D: @home in town and country</v>
      </c>
      <c r="I296" s="723"/>
      <c r="J296" s="723"/>
      <c r="K296" s="723"/>
      <c r="L296" s="723" t="s">
        <v>91</v>
      </c>
      <c r="M296" s="723"/>
      <c r="N296" s="723"/>
      <c r="O296" s="723"/>
      <c r="P296" s="723"/>
      <c r="Q296" s="723"/>
      <c r="R296" s="723"/>
      <c r="S296" s="723"/>
      <c r="T296" s="723"/>
      <c r="U296" s="724">
        <f>'MoT Travel Input'!M10</f>
        <v>0.3906467327185596</v>
      </c>
      <c r="V296" s="725"/>
      <c r="W296" s="726"/>
    </row>
    <row r="297" spans="1:23" s="727" customFormat="1" ht="15.5" x14ac:dyDescent="0.35">
      <c r="A297" s="723" t="str">
        <f t="shared" si="5"/>
        <v>Scen5_3_bike___</v>
      </c>
      <c r="B297" s="723"/>
      <c r="C297" s="723" t="s">
        <v>406</v>
      </c>
      <c r="D297" s="728">
        <v>3</v>
      </c>
      <c r="E297" s="728" t="s">
        <v>257</v>
      </c>
      <c r="F297" s="728" t="s">
        <v>368</v>
      </c>
      <c r="G297" s="728"/>
      <c r="H297" s="723" t="str">
        <f>'MoT Travel Input'!$P$7</f>
        <v>Scenario D: @home in town and country</v>
      </c>
      <c r="I297" s="728"/>
      <c r="J297" s="728"/>
      <c r="K297" s="728"/>
      <c r="L297" s="728" t="s">
        <v>248</v>
      </c>
      <c r="M297" s="728"/>
      <c r="N297" s="723"/>
      <c r="O297" s="728"/>
      <c r="P297" s="728"/>
      <c r="Q297" s="728"/>
      <c r="R297" s="728"/>
      <c r="S297" s="728"/>
      <c r="T297" s="729"/>
      <c r="U297" s="724">
        <f>'MoT Travel Input'!M11</f>
        <v>0.27839916169813522</v>
      </c>
      <c r="V297" s="725"/>
      <c r="W297" s="726"/>
    </row>
    <row r="298" spans="1:23" s="727" customFormat="1" ht="15.5" x14ac:dyDescent="0.35">
      <c r="A298" s="723" t="str">
        <f t="shared" si="5"/>
        <v>Scen5_3_rail___</v>
      </c>
      <c r="B298" s="723"/>
      <c r="C298" s="723" t="s">
        <v>406</v>
      </c>
      <c r="D298" s="728">
        <v>3</v>
      </c>
      <c r="E298" s="728" t="s">
        <v>257</v>
      </c>
      <c r="F298" s="728" t="s">
        <v>368</v>
      </c>
      <c r="G298" s="728"/>
      <c r="H298" s="723" t="str">
        <f>'MoT Travel Input'!$P$7</f>
        <v>Scenario D: @home in town and country</v>
      </c>
      <c r="I298" s="728"/>
      <c r="J298" s="728"/>
      <c r="K298" s="728"/>
      <c r="L298" s="728" t="s">
        <v>193</v>
      </c>
      <c r="M298" s="728"/>
      <c r="N298" s="723"/>
      <c r="O298" s="728"/>
      <c r="P298" s="728"/>
      <c r="Q298" s="728"/>
      <c r="R298" s="728"/>
      <c r="S298" s="728"/>
      <c r="T298" s="729"/>
      <c r="U298" s="724">
        <f>'MoT Travel Input'!M12</f>
        <v>0.60150213077794179</v>
      </c>
      <c r="V298" s="725"/>
      <c r="W298" s="726"/>
    </row>
    <row r="299" spans="1:23" s="727" customFormat="1" ht="15.5" x14ac:dyDescent="0.35">
      <c r="A299" s="723" t="str">
        <f t="shared" si="5"/>
        <v>Scen5_3_bus___</v>
      </c>
      <c r="B299" s="723"/>
      <c r="C299" s="723" t="s">
        <v>406</v>
      </c>
      <c r="D299" s="728">
        <v>3</v>
      </c>
      <c r="E299" s="728" t="s">
        <v>257</v>
      </c>
      <c r="F299" s="728" t="s">
        <v>368</v>
      </c>
      <c r="G299" s="728"/>
      <c r="H299" s="723" t="str">
        <f>'MoT Travel Input'!$P$7</f>
        <v>Scenario D: @home in town and country</v>
      </c>
      <c r="I299" s="728"/>
      <c r="J299" s="728"/>
      <c r="K299" s="728"/>
      <c r="L299" s="728" t="s">
        <v>93</v>
      </c>
      <c r="M299" s="728"/>
      <c r="N299" s="723"/>
      <c r="O299" s="728"/>
      <c r="P299" s="728"/>
      <c r="Q299" s="728"/>
      <c r="R299" s="728"/>
      <c r="S299" s="728"/>
      <c r="T299" s="729"/>
      <c r="U299" s="724">
        <f>'MoT Travel Input'!M13</f>
        <v>0.56255369807726563</v>
      </c>
      <c r="V299" s="725"/>
      <c r="W299" s="726"/>
    </row>
    <row r="300" spans="1:23" s="727" customFormat="1" ht="15.5" x14ac:dyDescent="0.35">
      <c r="A300" s="723" t="str">
        <f t="shared" si="5"/>
        <v>Scen5_3_other___</v>
      </c>
      <c r="B300" s="723"/>
      <c r="C300" s="723" t="s">
        <v>406</v>
      </c>
      <c r="D300" s="728">
        <v>3</v>
      </c>
      <c r="E300" s="728" t="s">
        <v>257</v>
      </c>
      <c r="F300" s="728" t="s">
        <v>368</v>
      </c>
      <c r="G300" s="728"/>
      <c r="H300" s="723" t="str">
        <f>'MoT Travel Input'!$P$7</f>
        <v>Scenario D: @home in town and country</v>
      </c>
      <c r="I300" s="728"/>
      <c r="J300" s="728"/>
      <c r="K300" s="728"/>
      <c r="L300" s="728" t="s">
        <v>194</v>
      </c>
      <c r="M300" s="728"/>
      <c r="N300" s="723"/>
      <c r="O300" s="728"/>
      <c r="P300" s="728"/>
      <c r="Q300" s="728"/>
      <c r="R300" s="728"/>
      <c r="S300" s="728"/>
      <c r="T300" s="729"/>
      <c r="U300" s="724">
        <f>'MoT Travel Input'!M14</f>
        <v>0.19848348145341427</v>
      </c>
      <c r="V300" s="725"/>
      <c r="W300" s="726"/>
    </row>
    <row r="301" spans="1:23" s="727" customFormat="1" ht="15.5" x14ac:dyDescent="0.35">
      <c r="A301" s="723" t="str">
        <f t="shared" si="5"/>
        <v>Scen5_3_auto (driver)___</v>
      </c>
      <c r="B301" s="723"/>
      <c r="C301" s="723" t="s">
        <v>406</v>
      </c>
      <c r="D301" s="728">
        <v>3</v>
      </c>
      <c r="E301" s="728" t="s">
        <v>257</v>
      </c>
      <c r="F301" s="728" t="s">
        <v>368</v>
      </c>
      <c r="G301" s="728"/>
      <c r="H301" s="723" t="str">
        <f>'MoT Travel Input'!$P$7</f>
        <v>Scenario D: @home in town and country</v>
      </c>
      <c r="I301" s="728"/>
      <c r="J301" s="728"/>
      <c r="K301" s="728"/>
      <c r="L301" s="728" t="s">
        <v>251</v>
      </c>
      <c r="M301" s="728"/>
      <c r="N301" s="723"/>
      <c r="O301" s="728"/>
      <c r="P301" s="728"/>
      <c r="Q301" s="728"/>
      <c r="R301" s="728"/>
      <c r="S301" s="728"/>
      <c r="U301" s="724">
        <f>'MoT Travel Input'!M15</f>
        <v>16.872743341989885</v>
      </c>
      <c r="V301" s="725"/>
      <c r="W301" s="726"/>
    </row>
    <row r="302" spans="1:23" s="727" customFormat="1" ht="15.5" x14ac:dyDescent="0.35">
      <c r="A302" s="723" t="str">
        <f t="shared" si="5"/>
        <v>Scen5_3_auto (passenger)___</v>
      </c>
      <c r="B302" s="723"/>
      <c r="C302" s="723" t="s">
        <v>406</v>
      </c>
      <c r="D302" s="728">
        <v>3</v>
      </c>
      <c r="E302" s="728" t="s">
        <v>257</v>
      </c>
      <c r="F302" s="728" t="s">
        <v>368</v>
      </c>
      <c r="G302" s="728"/>
      <c r="H302" s="723" t="str">
        <f>'MoT Travel Input'!$P$7</f>
        <v>Scenario D: @home in town and country</v>
      </c>
      <c r="I302" s="728"/>
      <c r="J302" s="728"/>
      <c r="K302" s="728"/>
      <c r="L302" s="728" t="s">
        <v>252</v>
      </c>
      <c r="M302" s="728"/>
      <c r="N302" s="723"/>
      <c r="O302" s="728"/>
      <c r="P302" s="728"/>
      <c r="Q302" s="728"/>
      <c r="R302" s="728"/>
      <c r="S302" s="728"/>
      <c r="T302" s="729"/>
      <c r="U302" s="724">
        <f>'MoT Travel Input'!M16</f>
        <v>8.600079066892663</v>
      </c>
      <c r="V302" s="725"/>
      <c r="W302" s="726"/>
    </row>
    <row r="303" spans="1:23" s="727" customFormat="1" ht="15.5" x14ac:dyDescent="0.35">
      <c r="A303" s="723" t="str">
        <f t="shared" si="5"/>
        <v>Scen5_18____</v>
      </c>
      <c r="B303" s="723"/>
      <c r="C303" s="723" t="s">
        <v>406</v>
      </c>
      <c r="D303" s="728">
        <v>18</v>
      </c>
      <c r="E303" s="728" t="s">
        <v>259</v>
      </c>
      <c r="F303" s="728" t="s">
        <v>260</v>
      </c>
      <c r="G303" s="728"/>
      <c r="H303" s="723" t="str">
        <f>'MoT Travel Input'!$P$7</f>
        <v>Scenario D: @home in town and country</v>
      </c>
      <c r="I303" s="728"/>
      <c r="J303" s="728"/>
      <c r="K303" s="728"/>
      <c r="L303" s="728"/>
      <c r="M303" s="728"/>
      <c r="N303" s="728"/>
      <c r="O303" s="728"/>
      <c r="P303" s="728"/>
      <c r="Q303" s="728"/>
      <c r="R303" s="728"/>
      <c r="S303" s="728"/>
      <c r="T303" s="728"/>
      <c r="U303" s="748">
        <f>'MoT Travel Input'!M21</f>
        <v>6729400</v>
      </c>
      <c r="V303" s="725"/>
      <c r="W303" s="726"/>
    </row>
    <row r="304" spans="1:23" s="727" customFormat="1" ht="15.5" x14ac:dyDescent="0.35">
      <c r="A304" s="723" t="str">
        <f t="shared" si="5"/>
        <v>Scen5_10.1_Auto (Driver)___</v>
      </c>
      <c r="B304" s="723"/>
      <c r="C304" s="723" t="s">
        <v>406</v>
      </c>
      <c r="D304" s="728">
        <v>10.1</v>
      </c>
      <c r="E304" s="728" t="s">
        <v>369</v>
      </c>
      <c r="F304" s="728" t="s">
        <v>368</v>
      </c>
      <c r="G304" s="728"/>
      <c r="H304" s="723" t="str">
        <f>'MoT Travel Input'!$P$7</f>
        <v>Scenario D: @home in town and country</v>
      </c>
      <c r="I304" s="728"/>
      <c r="J304" s="728"/>
      <c r="K304" s="728"/>
      <c r="L304" s="728" t="s">
        <v>234</v>
      </c>
      <c r="M304" s="728"/>
      <c r="N304" s="728"/>
      <c r="O304" s="728"/>
      <c r="P304" s="728"/>
      <c r="Q304" s="728"/>
      <c r="R304" s="728"/>
      <c r="S304" s="730"/>
      <c r="T304" s="728"/>
      <c r="U304" s="731">
        <f>'MoT Travel Input'!M17</f>
        <v>113543439.04558674</v>
      </c>
      <c r="V304" s="725"/>
      <c r="W304" s="726"/>
    </row>
    <row r="305" spans="1:23" s="727" customFormat="1" ht="15.5" x14ac:dyDescent="0.35">
      <c r="A305" s="723" t="str">
        <f t="shared" si="5"/>
        <v>Scen5_10.1_Auto (Passenger)___</v>
      </c>
      <c r="B305" s="723"/>
      <c r="C305" s="723" t="s">
        <v>406</v>
      </c>
      <c r="D305" s="728">
        <v>10.1</v>
      </c>
      <c r="E305" s="728" t="s">
        <v>369</v>
      </c>
      <c r="F305" s="728" t="s">
        <v>368</v>
      </c>
      <c r="G305" s="728"/>
      <c r="H305" s="723" t="str">
        <f>'MoT Travel Input'!$P$7</f>
        <v>Scenario D: @home in town and country</v>
      </c>
      <c r="I305" s="728"/>
      <c r="J305" s="728"/>
      <c r="K305" s="728"/>
      <c r="L305" s="728" t="s">
        <v>235</v>
      </c>
      <c r="M305" s="728"/>
      <c r="N305" s="728"/>
      <c r="O305" s="728"/>
      <c r="P305" s="728"/>
      <c r="Q305" s="728"/>
      <c r="R305" s="728"/>
      <c r="S305" s="730"/>
      <c r="U305" s="731">
        <f>'MoT Travel Input'!M18</f>
        <v>57873372.072747484</v>
      </c>
      <c r="V305" s="725"/>
      <c r="W305" s="726"/>
    </row>
    <row r="306" spans="1:23" s="727" customFormat="1" ht="15.5" x14ac:dyDescent="0.35">
      <c r="A306" s="723" t="str">
        <f t="shared" si="5"/>
        <v>Scen5_10.2_Auto (Driver)___</v>
      </c>
      <c r="B306" s="723"/>
      <c r="C306" s="723" t="s">
        <v>406</v>
      </c>
      <c r="D306" s="728">
        <v>10.199999999999999</v>
      </c>
      <c r="E306" s="728" t="s">
        <v>272</v>
      </c>
      <c r="F306" s="728" t="s">
        <v>273</v>
      </c>
      <c r="G306" s="728"/>
      <c r="H306" s="723" t="str">
        <f>'MoT Travel Input'!$P$7</f>
        <v>Scenario D: @home in town and country</v>
      </c>
      <c r="I306" s="728"/>
      <c r="J306" s="728"/>
      <c r="K306" s="728"/>
      <c r="L306" s="728" t="s">
        <v>234</v>
      </c>
      <c r="M306" s="728"/>
      <c r="N306" s="728"/>
      <c r="O306" s="728"/>
      <c r="P306" s="728"/>
      <c r="Q306" s="728"/>
      <c r="R306" s="728"/>
      <c r="S306" s="730"/>
      <c r="T306" s="728"/>
      <c r="U306" s="731">
        <f>'MoT Travel Input'!M19</f>
        <v>2971227.0618678425</v>
      </c>
      <c r="V306" s="725"/>
      <c r="W306" s="726"/>
    </row>
    <row r="307" spans="1:23" s="727" customFormat="1" ht="15.5" x14ac:dyDescent="0.35">
      <c r="A307" s="723" t="str">
        <f t="shared" si="5"/>
        <v>Scen5_10.2_Auto (Passenger)___</v>
      </c>
      <c r="B307" s="723"/>
      <c r="C307" s="723" t="s">
        <v>406</v>
      </c>
      <c r="D307" s="723">
        <v>10.199999999999999</v>
      </c>
      <c r="E307" s="723" t="s">
        <v>272</v>
      </c>
      <c r="F307" s="723" t="s">
        <v>273</v>
      </c>
      <c r="G307" s="723"/>
      <c r="H307" s="723" t="str">
        <f>'MoT Travel Input'!$P$7</f>
        <v>Scenario D: @home in town and country</v>
      </c>
      <c r="I307" s="723"/>
      <c r="J307" s="723"/>
      <c r="K307" s="723"/>
      <c r="L307" s="723" t="s">
        <v>235</v>
      </c>
      <c r="M307" s="723"/>
      <c r="N307" s="723"/>
      <c r="O307" s="723"/>
      <c r="P307" s="723"/>
      <c r="Q307" s="723"/>
      <c r="R307" s="723"/>
      <c r="S307" s="723"/>
      <c r="T307" s="723"/>
      <c r="U307" s="731">
        <f>'MoT Travel Input'!M20</f>
        <v>1361111.9574823596</v>
      </c>
      <c r="V307" s="725"/>
      <c r="W307" s="726"/>
    </row>
    <row r="308" spans="1:23" s="723" customFormat="1" ht="15.5" x14ac:dyDescent="0.35">
      <c r="A308" s="723" t="str">
        <f t="shared" si="5"/>
        <v>Scen5_5___0-4_f</v>
      </c>
      <c r="B308" s="727"/>
      <c r="C308" s="723" t="s">
        <v>406</v>
      </c>
      <c r="D308" s="727">
        <v>5</v>
      </c>
      <c r="E308" s="727" t="s">
        <v>223</v>
      </c>
      <c r="F308" s="726" t="s">
        <v>101</v>
      </c>
      <c r="G308" s="727"/>
      <c r="H308" s="723" t="str">
        <f>'MoT Travel Input'!$P$7</f>
        <v>Scenario D: @home in town and country</v>
      </c>
      <c r="K308" s="727"/>
      <c r="L308" s="727"/>
      <c r="M308" s="727"/>
      <c r="N308" s="727"/>
      <c r="O308" s="727"/>
      <c r="P308" s="727"/>
      <c r="Q308" s="726" t="s">
        <v>2</v>
      </c>
      <c r="R308" s="727" t="s">
        <v>26</v>
      </c>
      <c r="S308" s="727"/>
      <c r="T308" s="727"/>
      <c r="U308" s="727">
        <f>'[4]NZ.Stat export'!U6</f>
        <v>2.9601865242156834E-2</v>
      </c>
      <c r="V308" s="732"/>
      <c r="W308" s="726"/>
    </row>
    <row r="309" spans="1:23" s="723" customFormat="1" ht="15.5" x14ac:dyDescent="0.35">
      <c r="A309" s="723" t="str">
        <f t="shared" si="5"/>
        <v>Scen5_5___5-14_f</v>
      </c>
      <c r="B309" s="727"/>
      <c r="C309" s="723" t="s">
        <v>406</v>
      </c>
      <c r="D309" s="727">
        <v>5</v>
      </c>
      <c r="E309" s="727" t="s">
        <v>223</v>
      </c>
      <c r="F309" s="726" t="s">
        <v>101</v>
      </c>
      <c r="G309" s="727"/>
      <c r="H309" s="723" t="str">
        <f>'MoT Travel Input'!$P$7</f>
        <v>Scenario D: @home in town and country</v>
      </c>
      <c r="K309" s="727"/>
      <c r="L309" s="727"/>
      <c r="M309" s="727"/>
      <c r="N309" s="727"/>
      <c r="O309" s="727"/>
      <c r="P309" s="727"/>
      <c r="Q309" s="733" t="s">
        <v>3</v>
      </c>
      <c r="R309" s="727" t="s">
        <v>26</v>
      </c>
      <c r="S309" s="727"/>
      <c r="T309" s="727"/>
      <c r="U309" s="727">
        <f>'[4]NZ.Stat export'!U7</f>
        <v>5.85544373284538E-2</v>
      </c>
      <c r="V309" s="732"/>
      <c r="W309" s="726"/>
    </row>
    <row r="310" spans="1:23" s="723" customFormat="1" ht="15.5" x14ac:dyDescent="0.35">
      <c r="A310" s="723" t="str">
        <f t="shared" si="5"/>
        <v>Scen5_5___15-29_f</v>
      </c>
      <c r="B310" s="727"/>
      <c r="C310" s="723" t="s">
        <v>406</v>
      </c>
      <c r="D310" s="727">
        <v>5</v>
      </c>
      <c r="E310" s="727" t="s">
        <v>223</v>
      </c>
      <c r="F310" s="726" t="s">
        <v>101</v>
      </c>
      <c r="G310" s="727"/>
      <c r="H310" s="723" t="str">
        <f>'MoT Travel Input'!$P$7</f>
        <v>Scenario D: @home in town and country</v>
      </c>
      <c r="K310" s="727"/>
      <c r="L310" s="727"/>
      <c r="M310" s="727"/>
      <c r="N310" s="727"/>
      <c r="O310" s="727"/>
      <c r="P310" s="727"/>
      <c r="Q310" s="727" t="s">
        <v>4</v>
      </c>
      <c r="R310" s="727" t="s">
        <v>26</v>
      </c>
      <c r="S310" s="727"/>
      <c r="T310" s="727"/>
      <c r="U310" s="727">
        <f>'[4]NZ.Stat export'!U8</f>
        <v>8.6415016379895529E-2</v>
      </c>
      <c r="V310" s="732"/>
      <c r="W310" s="726"/>
    </row>
    <row r="311" spans="1:23" s="723" customFormat="1" ht="15.5" x14ac:dyDescent="0.35">
      <c r="A311" s="723" t="str">
        <f t="shared" si="5"/>
        <v>Scen5_5___30-44_f</v>
      </c>
      <c r="B311" s="727"/>
      <c r="C311" s="723" t="s">
        <v>406</v>
      </c>
      <c r="D311" s="727">
        <v>5</v>
      </c>
      <c r="E311" s="727" t="s">
        <v>223</v>
      </c>
      <c r="F311" s="726" t="s">
        <v>101</v>
      </c>
      <c r="G311" s="727"/>
      <c r="H311" s="723" t="str">
        <f>'MoT Travel Input'!$P$7</f>
        <v>Scenario D: @home in town and country</v>
      </c>
      <c r="K311" s="727"/>
      <c r="L311" s="727"/>
      <c r="M311" s="727"/>
      <c r="N311" s="727"/>
      <c r="O311" s="727"/>
      <c r="P311" s="727"/>
      <c r="Q311" s="727" t="s">
        <v>5</v>
      </c>
      <c r="R311" s="727" t="s">
        <v>26</v>
      </c>
      <c r="S311" s="727"/>
      <c r="T311" s="727"/>
      <c r="U311" s="727">
        <f>'[4]NZ.Stat export'!U9</f>
        <v>9.1889738216804892E-2</v>
      </c>
      <c r="V311" s="732"/>
      <c r="W311" s="726"/>
    </row>
    <row r="312" spans="1:23" s="723" customFormat="1" ht="15.5" x14ac:dyDescent="0.35">
      <c r="A312" s="723" t="str">
        <f t="shared" si="5"/>
        <v>Scen5_5___45-59_f</v>
      </c>
      <c r="B312" s="727"/>
      <c r="C312" s="723" t="s">
        <v>406</v>
      </c>
      <c r="D312" s="727">
        <v>5</v>
      </c>
      <c r="E312" s="727" t="s">
        <v>223</v>
      </c>
      <c r="F312" s="726" t="s">
        <v>101</v>
      </c>
      <c r="G312" s="727"/>
      <c r="H312" s="723" t="str">
        <f>'MoT Travel Input'!$P$7</f>
        <v>Scenario D: @home in town and country</v>
      </c>
      <c r="K312" s="727"/>
      <c r="L312" s="727"/>
      <c r="M312" s="727"/>
      <c r="N312" s="727"/>
      <c r="O312" s="727"/>
      <c r="P312" s="727"/>
      <c r="Q312" s="727" t="s">
        <v>6</v>
      </c>
      <c r="R312" s="727" t="s">
        <v>26</v>
      </c>
      <c r="S312" s="727"/>
      <c r="T312" s="727"/>
      <c r="U312" s="727">
        <f>'[4]NZ.Stat export'!U10</f>
        <v>9.2037304843136672E-2</v>
      </c>
      <c r="V312" s="732"/>
      <c r="W312" s="726"/>
    </row>
    <row r="313" spans="1:23" s="723" customFormat="1" ht="15.5" x14ac:dyDescent="0.35">
      <c r="A313" s="723" t="str">
        <f t="shared" si="5"/>
        <v>Scen5_5___60-69_f</v>
      </c>
      <c r="B313" s="727"/>
      <c r="C313" s="723" t="s">
        <v>406</v>
      </c>
      <c r="D313" s="727">
        <v>5</v>
      </c>
      <c r="E313" s="727" t="s">
        <v>223</v>
      </c>
      <c r="F313" s="726" t="s">
        <v>101</v>
      </c>
      <c r="G313" s="727"/>
      <c r="H313" s="723" t="str">
        <f>'MoT Travel Input'!$P$7</f>
        <v>Scenario D: @home in town and country</v>
      </c>
      <c r="K313" s="727"/>
      <c r="L313" s="727"/>
      <c r="M313" s="727"/>
      <c r="N313" s="727"/>
      <c r="O313" s="727"/>
      <c r="P313" s="727"/>
      <c r="Q313" s="727" t="s">
        <v>7</v>
      </c>
      <c r="R313" s="727" t="s">
        <v>26</v>
      </c>
      <c r="S313" s="727"/>
      <c r="T313" s="727"/>
      <c r="U313" s="727">
        <f>'[4]NZ.Stat export'!U11</f>
        <v>4.614408405395036E-2</v>
      </c>
      <c r="V313" s="732"/>
      <c r="W313" s="726"/>
    </row>
    <row r="314" spans="1:23" s="723" customFormat="1" ht="15.5" x14ac:dyDescent="0.35">
      <c r="A314" s="723" t="str">
        <f t="shared" si="5"/>
        <v>Scen5_5___70-79_f</v>
      </c>
      <c r="B314" s="727"/>
      <c r="C314" s="723" t="s">
        <v>406</v>
      </c>
      <c r="D314" s="727">
        <v>5</v>
      </c>
      <c r="E314" s="727" t="s">
        <v>223</v>
      </c>
      <c r="F314" s="726" t="s">
        <v>101</v>
      </c>
      <c r="G314" s="727"/>
      <c r="H314" s="723" t="str">
        <f>'MoT Travel Input'!$P$7</f>
        <v>Scenario D: @home in town and country</v>
      </c>
      <c r="K314" s="727"/>
      <c r="L314" s="727"/>
      <c r="M314" s="727"/>
      <c r="N314" s="727"/>
      <c r="O314" s="727"/>
      <c r="P314" s="727"/>
      <c r="Q314" s="727" t="s">
        <v>8</v>
      </c>
      <c r="R314" s="727" t="s">
        <v>26</v>
      </c>
      <c r="S314" s="727"/>
      <c r="T314" s="727"/>
      <c r="U314" s="727">
        <f>'[4]NZ.Stat export'!U12</f>
        <v>4.663105392084526E-2</v>
      </c>
      <c r="V314" s="732"/>
      <c r="W314" s="726"/>
    </row>
    <row r="315" spans="1:23" s="723" customFormat="1" ht="15.5" x14ac:dyDescent="0.35">
      <c r="A315" s="723" t="str">
        <f t="shared" si="5"/>
        <v>Scen5_5___80+_f</v>
      </c>
      <c r="B315" s="727"/>
      <c r="C315" s="723" t="s">
        <v>406</v>
      </c>
      <c r="D315" s="727">
        <v>5</v>
      </c>
      <c r="E315" s="727" t="s">
        <v>223</v>
      </c>
      <c r="F315" s="726" t="s">
        <v>101</v>
      </c>
      <c r="G315" s="727"/>
      <c r="H315" s="723" t="str">
        <f>'MoT Travel Input'!$P$7</f>
        <v>Scenario D: @home in town and country</v>
      </c>
      <c r="K315" s="727"/>
      <c r="L315" s="727"/>
      <c r="M315" s="727"/>
      <c r="N315" s="727"/>
      <c r="O315" s="727"/>
      <c r="P315" s="727"/>
      <c r="Q315" s="727" t="s">
        <v>9</v>
      </c>
      <c r="R315" s="727" t="s">
        <v>26</v>
      </c>
      <c r="S315" s="727"/>
      <c r="T315" s="727"/>
      <c r="U315" s="727">
        <f>'[4]NZ.Stat export'!U13</f>
        <v>4.4565121152200217E-2</v>
      </c>
      <c r="V315" s="732"/>
      <c r="W315" s="726"/>
    </row>
    <row r="316" spans="1:23" s="723" customFormat="1" ht="15.5" x14ac:dyDescent="0.35">
      <c r="A316" s="723" t="str">
        <f t="shared" si="5"/>
        <v>Scen5_5___0-4_m</v>
      </c>
      <c r="B316" s="727"/>
      <c r="C316" s="723" t="s">
        <v>406</v>
      </c>
      <c r="D316" s="727">
        <v>5</v>
      </c>
      <c r="E316" s="727" t="s">
        <v>223</v>
      </c>
      <c r="F316" s="726" t="s">
        <v>101</v>
      </c>
      <c r="G316" s="727"/>
      <c r="H316" s="723" t="str">
        <f>'MoT Travel Input'!$P$7</f>
        <v>Scenario D: @home in town and country</v>
      </c>
      <c r="K316" s="727"/>
      <c r="L316" s="727"/>
      <c r="M316" s="727"/>
      <c r="N316" s="727"/>
      <c r="O316" s="727"/>
      <c r="P316" s="727"/>
      <c r="Q316" s="726" t="s">
        <v>2</v>
      </c>
      <c r="R316" s="727" t="s">
        <v>25</v>
      </c>
      <c r="S316" s="727"/>
      <c r="T316" s="727"/>
      <c r="U316" s="727">
        <f>'[4]NZ.Stat export'!U14</f>
        <v>3.122509813180651E-2</v>
      </c>
      <c r="V316" s="732"/>
      <c r="W316" s="726"/>
    </row>
    <row r="317" spans="1:23" s="723" customFormat="1" ht="15.5" x14ac:dyDescent="0.35">
      <c r="A317" s="723" t="str">
        <f t="shared" si="5"/>
        <v>Scen5_5___5-14_m</v>
      </c>
      <c r="B317" s="727"/>
      <c r="C317" s="723" t="s">
        <v>406</v>
      </c>
      <c r="D317" s="727">
        <v>5</v>
      </c>
      <c r="E317" s="727" t="s">
        <v>223</v>
      </c>
      <c r="F317" s="726" t="s">
        <v>101</v>
      </c>
      <c r="G317" s="727"/>
      <c r="H317" s="723" t="str">
        <f>'MoT Travel Input'!$P$7</f>
        <v>Scenario D: @home in town and country</v>
      </c>
      <c r="K317" s="727"/>
      <c r="L317" s="727"/>
      <c r="M317" s="727"/>
      <c r="N317" s="727"/>
      <c r="O317" s="727"/>
      <c r="P317" s="727"/>
      <c r="Q317" s="733" t="s">
        <v>3</v>
      </c>
      <c r="R317" s="727" t="s">
        <v>25</v>
      </c>
      <c r="S317" s="727"/>
      <c r="T317" s="727"/>
      <c r="U317" s="727">
        <f>'[4]NZ.Stat export'!U15</f>
        <v>6.191895640881858E-2</v>
      </c>
      <c r="V317" s="732"/>
      <c r="W317" s="726"/>
    </row>
    <row r="318" spans="1:23" s="723" customFormat="1" ht="15.5" x14ac:dyDescent="0.35">
      <c r="A318" s="723" t="str">
        <f t="shared" si="5"/>
        <v>Scen5_5___15-29_m</v>
      </c>
      <c r="B318" s="727"/>
      <c r="C318" s="723" t="s">
        <v>406</v>
      </c>
      <c r="D318" s="727">
        <v>5</v>
      </c>
      <c r="E318" s="727" t="s">
        <v>223</v>
      </c>
      <c r="F318" s="726" t="s">
        <v>101</v>
      </c>
      <c r="G318" s="727"/>
      <c r="H318" s="723" t="str">
        <f>'MoT Travel Input'!$P$7</f>
        <v>Scenario D: @home in town and country</v>
      </c>
      <c r="K318" s="727"/>
      <c r="L318" s="727"/>
      <c r="M318" s="727"/>
      <c r="N318" s="727"/>
      <c r="O318" s="727"/>
      <c r="P318" s="727"/>
      <c r="Q318" s="727" t="s">
        <v>4</v>
      </c>
      <c r="R318" s="727" t="s">
        <v>25</v>
      </c>
      <c r="S318" s="727"/>
      <c r="T318" s="727"/>
      <c r="U318" s="727">
        <f>'[4]NZ.Stat export'!U16</f>
        <v>9.4826314080807481E-2</v>
      </c>
      <c r="V318" s="732"/>
      <c r="W318" s="726"/>
    </row>
    <row r="319" spans="1:23" s="723" customFormat="1" ht="15.5" x14ac:dyDescent="0.35">
      <c r="A319" s="723" t="str">
        <f t="shared" si="5"/>
        <v>Scen5_5___30-44_m</v>
      </c>
      <c r="B319" s="727"/>
      <c r="C319" s="723" t="s">
        <v>406</v>
      </c>
      <c r="D319" s="727">
        <v>5</v>
      </c>
      <c r="E319" s="727" t="s">
        <v>223</v>
      </c>
      <c r="F319" s="726" t="s">
        <v>101</v>
      </c>
      <c r="G319" s="727"/>
      <c r="H319" s="723" t="str">
        <f>'MoT Travel Input'!$P$7</f>
        <v>Scenario D: @home in town and country</v>
      </c>
      <c r="K319" s="727"/>
      <c r="L319" s="727"/>
      <c r="M319" s="727"/>
      <c r="N319" s="727"/>
      <c r="O319" s="727"/>
      <c r="P319" s="727"/>
      <c r="Q319" s="727" t="s">
        <v>5</v>
      </c>
      <c r="R319" s="727" t="s">
        <v>25</v>
      </c>
      <c r="S319" s="727"/>
      <c r="T319" s="727"/>
      <c r="U319" s="727">
        <f>'[4]NZ.Stat export'!U17</f>
        <v>0.1007584924593454</v>
      </c>
      <c r="V319" s="732"/>
      <c r="W319" s="726"/>
    </row>
    <row r="320" spans="1:23" s="723" customFormat="1" ht="15.5" x14ac:dyDescent="0.35">
      <c r="A320" s="723" t="str">
        <f t="shared" si="5"/>
        <v>Scen5_5___45-59_m</v>
      </c>
      <c r="B320" s="727"/>
      <c r="C320" s="723" t="s">
        <v>406</v>
      </c>
      <c r="D320" s="727">
        <v>5</v>
      </c>
      <c r="E320" s="727" t="s">
        <v>223</v>
      </c>
      <c r="F320" s="726" t="s">
        <v>101</v>
      </c>
      <c r="G320" s="727"/>
      <c r="H320" s="723" t="str">
        <f>'MoT Travel Input'!$P$7</f>
        <v>Scenario D: @home in town and country</v>
      </c>
      <c r="K320" s="727"/>
      <c r="L320" s="727"/>
      <c r="M320" s="727"/>
      <c r="N320" s="727"/>
      <c r="O320" s="727"/>
      <c r="P320" s="727"/>
      <c r="Q320" s="727" t="s">
        <v>6</v>
      </c>
      <c r="R320" s="727" t="s">
        <v>25</v>
      </c>
      <c r="S320" s="727"/>
      <c r="T320" s="727"/>
      <c r="U320" s="727">
        <f>'[4]NZ.Stat export'!U18</f>
        <v>9.5844523802496834E-2</v>
      </c>
      <c r="V320" s="732"/>
      <c r="W320" s="726"/>
    </row>
    <row r="321" spans="1:23" s="723" customFormat="1" ht="15.5" x14ac:dyDescent="0.35">
      <c r="A321" s="723" t="str">
        <f t="shared" si="5"/>
        <v>Scen5_5___60-69_m</v>
      </c>
      <c r="B321" s="727"/>
      <c r="C321" s="723" t="s">
        <v>406</v>
      </c>
      <c r="D321" s="727">
        <v>5</v>
      </c>
      <c r="E321" s="727" t="s">
        <v>223</v>
      </c>
      <c r="F321" s="726" t="s">
        <v>101</v>
      </c>
      <c r="G321" s="727"/>
      <c r="H321" s="723" t="str">
        <f>'MoT Travel Input'!$P$7</f>
        <v>Scenario D: @home in town and country</v>
      </c>
      <c r="K321" s="727"/>
      <c r="L321" s="727"/>
      <c r="M321" s="727"/>
      <c r="N321" s="727"/>
      <c r="O321" s="727"/>
      <c r="P321" s="727"/>
      <c r="Q321" s="727" t="s">
        <v>7</v>
      </c>
      <c r="R321" s="727" t="s">
        <v>25</v>
      </c>
      <c r="S321" s="727"/>
      <c r="T321" s="727"/>
      <c r="U321" s="727">
        <f>'[4]NZ.Stat export'!U19</f>
        <v>4.3059941563615971E-2</v>
      </c>
      <c r="V321" s="732"/>
      <c r="W321" s="726"/>
    </row>
    <row r="322" spans="1:23" s="723" customFormat="1" ht="15.5" x14ac:dyDescent="0.35">
      <c r="A322" s="723" t="str">
        <f t="shared" si="5"/>
        <v>Scen5_5___70-79_m</v>
      </c>
      <c r="B322" s="727"/>
      <c r="C322" s="723" t="s">
        <v>406</v>
      </c>
      <c r="D322" s="727">
        <v>5</v>
      </c>
      <c r="E322" s="727" t="s">
        <v>223</v>
      </c>
      <c r="F322" s="726" t="s">
        <v>101</v>
      </c>
      <c r="G322" s="727"/>
      <c r="H322" s="723" t="str">
        <f>'MoT Travel Input'!$P$7</f>
        <v>Scenario D: @home in town and country</v>
      </c>
      <c r="K322" s="727"/>
      <c r="L322" s="727"/>
      <c r="M322" s="727"/>
      <c r="N322" s="727"/>
      <c r="O322" s="727"/>
      <c r="P322" s="727"/>
      <c r="Q322" s="727" t="s">
        <v>8</v>
      </c>
      <c r="R322" s="727" t="s">
        <v>25</v>
      </c>
      <c r="S322" s="727"/>
      <c r="T322" s="727"/>
      <c r="U322" s="727">
        <f>'[4]NZ.Stat export'!U20</f>
        <v>4.1613788625564439E-2</v>
      </c>
      <c r="V322" s="732"/>
      <c r="W322" s="726"/>
    </row>
    <row r="323" spans="1:23" s="723" customFormat="1" ht="15.5" x14ac:dyDescent="0.35">
      <c r="A323" s="723" t="str">
        <f t="shared" si="5"/>
        <v>Scen5_5___80+_m</v>
      </c>
      <c r="B323" s="727"/>
      <c r="C323" s="723" t="s">
        <v>406</v>
      </c>
      <c r="D323" s="727">
        <v>5</v>
      </c>
      <c r="E323" s="727" t="s">
        <v>223</v>
      </c>
      <c r="F323" s="726" t="s">
        <v>101</v>
      </c>
      <c r="G323" s="727"/>
      <c r="H323" s="723" t="str">
        <f>'MoT Travel Input'!$P$7</f>
        <v>Scenario D: @home in town and country</v>
      </c>
      <c r="K323" s="727"/>
      <c r="L323" s="727"/>
      <c r="M323" s="727"/>
      <c r="N323" s="727"/>
      <c r="O323" s="727"/>
      <c r="P323" s="727"/>
      <c r="Q323" s="727" t="s">
        <v>9</v>
      </c>
      <c r="R323" s="727" t="s">
        <v>25</v>
      </c>
      <c r="S323" s="727"/>
      <c r="T323" s="727"/>
      <c r="U323" s="727">
        <f>'[4]NZ.Stat export'!U21</f>
        <v>3.4914263790101228E-2</v>
      </c>
      <c r="V323" s="732"/>
      <c r="W323" s="726"/>
    </row>
    <row r="324" spans="1:23" s="723" customFormat="1" ht="15.5" x14ac:dyDescent="0.35">
      <c r="A324" s="723" t="str">
        <f t="shared" si="5"/>
        <v>Scen5_2_Bike__00-04_f</v>
      </c>
      <c r="B324" s="727"/>
      <c r="C324" s="723" t="s">
        <v>406</v>
      </c>
      <c r="D324" s="727">
        <v>2</v>
      </c>
      <c r="E324" s="727" t="s">
        <v>118</v>
      </c>
      <c r="F324" s="726" t="s">
        <v>379</v>
      </c>
      <c r="G324" s="727"/>
      <c r="H324" s="723" t="str">
        <f>'MoT Travel Input'!$P$7</f>
        <v>Scenario D: @home in town and country</v>
      </c>
      <c r="K324" s="727"/>
      <c r="L324" s="727" t="s">
        <v>250</v>
      </c>
      <c r="M324" s="727"/>
      <c r="N324" s="727"/>
      <c r="O324" s="727"/>
      <c r="P324" s="727"/>
      <c r="Q324" s="727" t="s">
        <v>196</v>
      </c>
      <c r="R324" s="727" t="s">
        <v>26</v>
      </c>
      <c r="S324" s="727"/>
      <c r="T324" s="727"/>
      <c r="U324" s="727"/>
      <c r="V324" s="732"/>
      <c r="W324" s="726"/>
    </row>
    <row r="325" spans="1:23" s="723" customFormat="1" ht="15.5" x14ac:dyDescent="0.35">
      <c r="A325" s="723" t="str">
        <f t="shared" si="5"/>
        <v>Scen5_2_Bike__05-14_f</v>
      </c>
      <c r="B325" s="727"/>
      <c r="C325" s="723" t="s">
        <v>406</v>
      </c>
      <c r="D325" s="727">
        <v>2</v>
      </c>
      <c r="E325" s="727" t="s">
        <v>118</v>
      </c>
      <c r="F325" s="726" t="s">
        <v>379</v>
      </c>
      <c r="G325" s="727"/>
      <c r="H325" s="723" t="str">
        <f>'MoT Travel Input'!$P$7</f>
        <v>Scenario D: @home in town and country</v>
      </c>
      <c r="K325" s="727"/>
      <c r="L325" s="727" t="s">
        <v>250</v>
      </c>
      <c r="M325" s="727"/>
      <c r="N325" s="727"/>
      <c r="O325" s="727"/>
      <c r="P325" s="727"/>
      <c r="Q325" s="727" t="s">
        <v>191</v>
      </c>
      <c r="R325" s="727" t="s">
        <v>26</v>
      </c>
      <c r="S325" s="727"/>
      <c r="T325" s="727"/>
      <c r="U325" s="727"/>
      <c r="V325" s="732"/>
      <c r="W325" s="726"/>
    </row>
    <row r="326" spans="1:23" s="723" customFormat="1" ht="15.5" x14ac:dyDescent="0.35">
      <c r="A326" s="723" t="str">
        <f t="shared" si="5"/>
        <v>Scen5_2_Bike__15-29_f</v>
      </c>
      <c r="B326" s="727"/>
      <c r="C326" s="723" t="s">
        <v>406</v>
      </c>
      <c r="D326" s="727">
        <v>2</v>
      </c>
      <c r="E326" s="727" t="s">
        <v>118</v>
      </c>
      <c r="F326" s="726" t="s">
        <v>379</v>
      </c>
      <c r="G326" s="727"/>
      <c r="H326" s="723" t="str">
        <f>'MoT Travel Input'!$P$7</f>
        <v>Scenario D: @home in town and country</v>
      </c>
      <c r="K326" s="727"/>
      <c r="L326" s="727" t="s">
        <v>250</v>
      </c>
      <c r="M326" s="727"/>
      <c r="N326" s="727"/>
      <c r="O326" s="727"/>
      <c r="P326" s="727"/>
      <c r="Q326" s="727" t="s">
        <v>4</v>
      </c>
      <c r="R326" s="727" t="s">
        <v>26</v>
      </c>
      <c r="S326" s="727"/>
      <c r="T326" s="727"/>
      <c r="U326" s="727"/>
      <c r="V326" s="732"/>
      <c r="W326" s="726"/>
    </row>
    <row r="327" spans="1:23" s="723" customFormat="1" ht="15.5" x14ac:dyDescent="0.35">
      <c r="A327" s="723" t="str">
        <f t="shared" si="5"/>
        <v>Scen5_2_Bike__30-44_f</v>
      </c>
      <c r="B327" s="727"/>
      <c r="C327" s="723" t="s">
        <v>406</v>
      </c>
      <c r="D327" s="727">
        <v>2</v>
      </c>
      <c r="E327" s="727" t="s">
        <v>118</v>
      </c>
      <c r="F327" s="726" t="s">
        <v>379</v>
      </c>
      <c r="G327" s="727"/>
      <c r="H327" s="723" t="str">
        <f>'MoT Travel Input'!$P$7</f>
        <v>Scenario D: @home in town and country</v>
      </c>
      <c r="K327" s="727"/>
      <c r="L327" s="727" t="s">
        <v>250</v>
      </c>
      <c r="M327" s="727"/>
      <c r="N327" s="727"/>
      <c r="O327" s="727"/>
      <c r="P327" s="727"/>
      <c r="Q327" s="727" t="s">
        <v>5</v>
      </c>
      <c r="R327" s="727" t="s">
        <v>26</v>
      </c>
      <c r="S327" s="727"/>
      <c r="T327" s="727"/>
      <c r="U327" s="727"/>
      <c r="V327" s="732"/>
      <c r="W327" s="726"/>
    </row>
    <row r="328" spans="1:23" s="723" customFormat="1" ht="15.5" x14ac:dyDescent="0.35">
      <c r="A328" s="723" t="str">
        <f t="shared" si="5"/>
        <v>Scen5_2_Bike__45-59_f</v>
      </c>
      <c r="B328" s="727"/>
      <c r="C328" s="723" t="s">
        <v>406</v>
      </c>
      <c r="D328" s="727">
        <v>2</v>
      </c>
      <c r="E328" s="727" t="s">
        <v>118</v>
      </c>
      <c r="F328" s="726" t="s">
        <v>379</v>
      </c>
      <c r="G328" s="727"/>
      <c r="H328" s="723" t="str">
        <f>'MoT Travel Input'!$P$7</f>
        <v>Scenario D: @home in town and country</v>
      </c>
      <c r="K328" s="727"/>
      <c r="L328" s="727" t="s">
        <v>250</v>
      </c>
      <c r="M328" s="727"/>
      <c r="N328" s="727"/>
      <c r="O328" s="727"/>
      <c r="P328" s="727"/>
      <c r="Q328" s="727" t="s">
        <v>6</v>
      </c>
      <c r="R328" s="727" t="s">
        <v>26</v>
      </c>
      <c r="S328" s="727"/>
      <c r="T328" s="727"/>
      <c r="U328" s="727"/>
      <c r="V328" s="732"/>
      <c r="W328" s="726"/>
    </row>
    <row r="329" spans="1:23" s="723" customFormat="1" ht="15.5" x14ac:dyDescent="0.35">
      <c r="A329" s="723" t="str">
        <f t="shared" si="5"/>
        <v>Scen5_2_Bike__60-69_f</v>
      </c>
      <c r="B329" s="727"/>
      <c r="C329" s="723" t="s">
        <v>406</v>
      </c>
      <c r="D329" s="727">
        <v>2</v>
      </c>
      <c r="E329" s="727" t="s">
        <v>118</v>
      </c>
      <c r="F329" s="726" t="s">
        <v>379</v>
      </c>
      <c r="G329" s="727"/>
      <c r="H329" s="723" t="str">
        <f>'MoT Travel Input'!$P$7</f>
        <v>Scenario D: @home in town and country</v>
      </c>
      <c r="K329" s="727"/>
      <c r="L329" s="727" t="s">
        <v>250</v>
      </c>
      <c r="M329" s="727"/>
      <c r="N329" s="727"/>
      <c r="O329" s="727"/>
      <c r="P329" s="727"/>
      <c r="Q329" s="727" t="s">
        <v>7</v>
      </c>
      <c r="R329" s="727" t="s">
        <v>26</v>
      </c>
      <c r="S329" s="727"/>
      <c r="T329" s="727"/>
      <c r="U329" s="727"/>
      <c r="V329" s="732"/>
      <c r="W329" s="726"/>
    </row>
    <row r="330" spans="1:23" s="723" customFormat="1" ht="15.5" x14ac:dyDescent="0.35">
      <c r="A330" s="723" t="str">
        <f t="shared" si="5"/>
        <v>Scen5_2_Bike__70-79_f</v>
      </c>
      <c r="B330" s="727"/>
      <c r="C330" s="723" t="s">
        <v>406</v>
      </c>
      <c r="D330" s="727">
        <v>2</v>
      </c>
      <c r="E330" s="727" t="s">
        <v>118</v>
      </c>
      <c r="F330" s="726" t="s">
        <v>379</v>
      </c>
      <c r="G330" s="727"/>
      <c r="H330" s="723" t="str">
        <f>'MoT Travel Input'!$P$7</f>
        <v>Scenario D: @home in town and country</v>
      </c>
      <c r="K330" s="727"/>
      <c r="L330" s="727" t="s">
        <v>250</v>
      </c>
      <c r="M330" s="727"/>
      <c r="N330" s="727"/>
      <c r="O330" s="727"/>
      <c r="P330" s="727"/>
      <c r="Q330" s="727" t="s">
        <v>8</v>
      </c>
      <c r="R330" s="727" t="s">
        <v>26</v>
      </c>
      <c r="S330" s="727"/>
      <c r="T330" s="727"/>
      <c r="U330" s="727"/>
      <c r="V330" s="732"/>
      <c r="W330" s="726"/>
    </row>
    <row r="331" spans="1:23" s="723" customFormat="1" ht="15.5" x14ac:dyDescent="0.35">
      <c r="A331" s="723" t="str">
        <f t="shared" si="5"/>
        <v>Scen5_2_Bike__80+_f</v>
      </c>
      <c r="B331" s="727"/>
      <c r="C331" s="723" t="s">
        <v>406</v>
      </c>
      <c r="D331" s="727">
        <v>2</v>
      </c>
      <c r="E331" s="727" t="s">
        <v>118</v>
      </c>
      <c r="F331" s="726" t="s">
        <v>379</v>
      </c>
      <c r="G331" s="727"/>
      <c r="H331" s="723" t="str">
        <f>'MoT Travel Input'!$P$7</f>
        <v>Scenario D: @home in town and country</v>
      </c>
      <c r="K331" s="727"/>
      <c r="L331" s="727" t="s">
        <v>250</v>
      </c>
      <c r="M331" s="727"/>
      <c r="N331" s="727"/>
      <c r="O331" s="727"/>
      <c r="P331" s="727"/>
      <c r="Q331" s="727" t="s">
        <v>9</v>
      </c>
      <c r="R331" s="727" t="s">
        <v>26</v>
      </c>
      <c r="S331" s="727"/>
      <c r="T331" s="727"/>
      <c r="U331" s="727"/>
      <c r="V331" s="732"/>
      <c r="W331" s="726"/>
    </row>
    <row r="332" spans="1:23" s="723" customFormat="1" ht="15.5" x14ac:dyDescent="0.35">
      <c r="A332" s="723" t="str">
        <f t="shared" si="5"/>
        <v>Scen5_2_Bike__00-04_m</v>
      </c>
      <c r="B332" s="727"/>
      <c r="C332" s="723" t="s">
        <v>406</v>
      </c>
      <c r="D332" s="727">
        <v>2</v>
      </c>
      <c r="E332" s="727" t="s">
        <v>118</v>
      </c>
      <c r="F332" s="726" t="s">
        <v>379</v>
      </c>
      <c r="G332" s="727"/>
      <c r="H332" s="723" t="str">
        <f>'MoT Travel Input'!$P$7</f>
        <v>Scenario D: @home in town and country</v>
      </c>
      <c r="K332" s="727"/>
      <c r="L332" s="727" t="s">
        <v>250</v>
      </c>
      <c r="M332" s="727"/>
      <c r="N332" s="727"/>
      <c r="O332" s="727"/>
      <c r="P332" s="727"/>
      <c r="Q332" s="727" t="s">
        <v>196</v>
      </c>
      <c r="R332" s="727" t="s">
        <v>25</v>
      </c>
      <c r="S332" s="727"/>
      <c r="T332" s="727"/>
      <c r="U332" s="727"/>
      <c r="V332" s="732"/>
      <c r="W332" s="726"/>
    </row>
    <row r="333" spans="1:23" s="723" customFormat="1" ht="15.5" x14ac:dyDescent="0.35">
      <c r="A333" s="723" t="str">
        <f t="shared" si="5"/>
        <v>Scen5_2_Bike__05-14_m</v>
      </c>
      <c r="B333" s="727"/>
      <c r="C333" s="723" t="s">
        <v>406</v>
      </c>
      <c r="D333" s="727">
        <v>2</v>
      </c>
      <c r="E333" s="727" t="s">
        <v>118</v>
      </c>
      <c r="F333" s="726" t="s">
        <v>379</v>
      </c>
      <c r="G333" s="727"/>
      <c r="H333" s="723" t="str">
        <f>'MoT Travel Input'!$P$7</f>
        <v>Scenario D: @home in town and country</v>
      </c>
      <c r="K333" s="727"/>
      <c r="L333" s="727" t="s">
        <v>250</v>
      </c>
      <c r="M333" s="727"/>
      <c r="N333" s="727"/>
      <c r="O333" s="727"/>
      <c r="P333" s="727"/>
      <c r="Q333" s="727" t="s">
        <v>191</v>
      </c>
      <c r="R333" s="727" t="s">
        <v>25</v>
      </c>
      <c r="S333" s="727"/>
      <c r="T333" s="727"/>
      <c r="U333" s="727"/>
      <c r="V333" s="732"/>
      <c r="W333" s="726"/>
    </row>
    <row r="334" spans="1:23" s="723" customFormat="1" ht="15.5" x14ac:dyDescent="0.35">
      <c r="A334" s="723" t="str">
        <f t="shared" si="5"/>
        <v>Scen5_2_Bike__15-29_m</v>
      </c>
      <c r="B334" s="727"/>
      <c r="C334" s="723" t="s">
        <v>406</v>
      </c>
      <c r="D334" s="727">
        <v>2</v>
      </c>
      <c r="E334" s="727" t="s">
        <v>118</v>
      </c>
      <c r="F334" s="726" t="s">
        <v>379</v>
      </c>
      <c r="G334" s="727"/>
      <c r="H334" s="723" t="str">
        <f>'MoT Travel Input'!$P$7</f>
        <v>Scenario D: @home in town and country</v>
      </c>
      <c r="K334" s="727"/>
      <c r="L334" s="727" t="s">
        <v>250</v>
      </c>
      <c r="M334" s="727"/>
      <c r="N334" s="727"/>
      <c r="O334" s="727"/>
      <c r="P334" s="727"/>
      <c r="Q334" s="727" t="s">
        <v>4</v>
      </c>
      <c r="R334" s="727" t="s">
        <v>25</v>
      </c>
      <c r="S334" s="727"/>
      <c r="T334" s="727"/>
      <c r="U334" s="727"/>
      <c r="V334" s="732"/>
      <c r="W334" s="726"/>
    </row>
    <row r="335" spans="1:23" s="723" customFormat="1" ht="15.5" x14ac:dyDescent="0.35">
      <c r="A335" s="723" t="str">
        <f t="shared" si="5"/>
        <v>Scen5_2_Bike__30-44_m</v>
      </c>
      <c r="B335" s="727"/>
      <c r="C335" s="723" t="s">
        <v>406</v>
      </c>
      <c r="D335" s="727">
        <v>2</v>
      </c>
      <c r="E335" s="727" t="s">
        <v>118</v>
      </c>
      <c r="F335" s="726" t="s">
        <v>379</v>
      </c>
      <c r="G335" s="727"/>
      <c r="H335" s="723" t="str">
        <f>'MoT Travel Input'!$P$7</f>
        <v>Scenario D: @home in town and country</v>
      </c>
      <c r="K335" s="727"/>
      <c r="L335" s="727" t="s">
        <v>250</v>
      </c>
      <c r="M335" s="727"/>
      <c r="N335" s="727"/>
      <c r="O335" s="727"/>
      <c r="P335" s="727"/>
      <c r="Q335" s="727" t="s">
        <v>5</v>
      </c>
      <c r="R335" s="727" t="s">
        <v>25</v>
      </c>
      <c r="S335" s="727"/>
      <c r="T335" s="727"/>
      <c r="U335" s="727"/>
      <c r="V335" s="732"/>
      <c r="W335" s="726"/>
    </row>
    <row r="336" spans="1:23" s="723" customFormat="1" ht="15.5" x14ac:dyDescent="0.35">
      <c r="A336" s="723" t="str">
        <f t="shared" si="5"/>
        <v>Scen5_2_Bike__45-59_m</v>
      </c>
      <c r="B336" s="727"/>
      <c r="C336" s="723" t="s">
        <v>406</v>
      </c>
      <c r="D336" s="727">
        <v>2</v>
      </c>
      <c r="E336" s="727" t="s">
        <v>118</v>
      </c>
      <c r="F336" s="726" t="s">
        <v>379</v>
      </c>
      <c r="G336" s="727"/>
      <c r="H336" s="723" t="str">
        <f>'MoT Travel Input'!$P$7</f>
        <v>Scenario D: @home in town and country</v>
      </c>
      <c r="K336" s="727"/>
      <c r="L336" s="727" t="s">
        <v>250</v>
      </c>
      <c r="M336" s="727"/>
      <c r="N336" s="727"/>
      <c r="O336" s="727"/>
      <c r="P336" s="727"/>
      <c r="Q336" s="727" t="s">
        <v>6</v>
      </c>
      <c r="R336" s="727" t="s">
        <v>25</v>
      </c>
      <c r="S336" s="727"/>
      <c r="T336" s="727"/>
      <c r="U336" s="727"/>
      <c r="V336" s="732"/>
      <c r="W336" s="726"/>
    </row>
    <row r="337" spans="1:23" s="723" customFormat="1" ht="15.5" x14ac:dyDescent="0.35">
      <c r="A337" s="723" t="str">
        <f t="shared" si="5"/>
        <v>Scen5_2_Bike__60-69_m</v>
      </c>
      <c r="B337" s="727"/>
      <c r="C337" s="723" t="s">
        <v>406</v>
      </c>
      <c r="D337" s="727">
        <v>2</v>
      </c>
      <c r="E337" s="727" t="s">
        <v>118</v>
      </c>
      <c r="F337" s="726" t="s">
        <v>379</v>
      </c>
      <c r="G337" s="727"/>
      <c r="H337" s="723" t="str">
        <f>'MoT Travel Input'!$P$7</f>
        <v>Scenario D: @home in town and country</v>
      </c>
      <c r="K337" s="727"/>
      <c r="L337" s="727" t="s">
        <v>250</v>
      </c>
      <c r="M337" s="727"/>
      <c r="N337" s="727"/>
      <c r="O337" s="727"/>
      <c r="P337" s="727"/>
      <c r="Q337" s="727" t="s">
        <v>7</v>
      </c>
      <c r="R337" s="727" t="s">
        <v>25</v>
      </c>
      <c r="S337" s="727"/>
      <c r="T337" s="727"/>
      <c r="U337" s="727"/>
      <c r="V337" s="732"/>
      <c r="W337" s="726"/>
    </row>
    <row r="338" spans="1:23" s="723" customFormat="1" ht="15.5" x14ac:dyDescent="0.35">
      <c r="A338" s="723" t="str">
        <f t="shared" si="5"/>
        <v>Scen5_2_Bike__70-79_m</v>
      </c>
      <c r="B338" s="727"/>
      <c r="C338" s="723" t="s">
        <v>406</v>
      </c>
      <c r="D338" s="727">
        <v>2</v>
      </c>
      <c r="E338" s="727" t="s">
        <v>118</v>
      </c>
      <c r="F338" s="726" t="s">
        <v>379</v>
      </c>
      <c r="G338" s="727"/>
      <c r="H338" s="723" t="str">
        <f>'MoT Travel Input'!$P$7</f>
        <v>Scenario D: @home in town and country</v>
      </c>
      <c r="K338" s="727"/>
      <c r="L338" s="727" t="s">
        <v>250</v>
      </c>
      <c r="M338" s="727"/>
      <c r="N338" s="727"/>
      <c r="O338" s="727"/>
      <c r="P338" s="727"/>
      <c r="Q338" s="727" t="s">
        <v>8</v>
      </c>
      <c r="R338" s="727" t="s">
        <v>25</v>
      </c>
      <c r="S338" s="727"/>
      <c r="T338" s="727"/>
      <c r="U338" s="727"/>
      <c r="V338" s="732"/>
      <c r="W338" s="726"/>
    </row>
    <row r="339" spans="1:23" s="723" customFormat="1" ht="15.5" x14ac:dyDescent="0.35">
      <c r="A339" s="723" t="str">
        <f t="shared" si="5"/>
        <v>Scen5_2_Bike__80+_m</v>
      </c>
      <c r="B339" s="727"/>
      <c r="C339" s="723" t="s">
        <v>406</v>
      </c>
      <c r="D339" s="727">
        <v>2</v>
      </c>
      <c r="E339" s="727" t="s">
        <v>118</v>
      </c>
      <c r="F339" s="726" t="s">
        <v>379</v>
      </c>
      <c r="G339" s="727"/>
      <c r="H339" s="723" t="str">
        <f>'MoT Travel Input'!$P$7</f>
        <v>Scenario D: @home in town and country</v>
      </c>
      <c r="K339" s="727"/>
      <c r="L339" s="727" t="s">
        <v>250</v>
      </c>
      <c r="M339" s="727"/>
      <c r="N339" s="727"/>
      <c r="O339" s="727"/>
      <c r="P339" s="727"/>
      <c r="Q339" s="727" t="s">
        <v>9</v>
      </c>
      <c r="R339" s="727" t="s">
        <v>25</v>
      </c>
      <c r="S339" s="727"/>
      <c r="T339" s="727"/>
      <c r="U339" s="727"/>
      <c r="V339" s="732"/>
      <c r="W339" s="726"/>
    </row>
    <row r="340" spans="1:23" s="723" customFormat="1" ht="15.5" x14ac:dyDescent="0.35">
      <c r="A340" s="723" t="str">
        <f t="shared" si="5"/>
        <v>Scen5_2_Walk__00-04_f</v>
      </c>
      <c r="B340" s="727"/>
      <c r="C340" s="723" t="s">
        <v>406</v>
      </c>
      <c r="D340" s="727">
        <v>2</v>
      </c>
      <c r="E340" s="727" t="s">
        <v>118</v>
      </c>
      <c r="F340" s="726" t="s">
        <v>379</v>
      </c>
      <c r="G340" s="727"/>
      <c r="H340" s="723" t="str">
        <f>'MoT Travel Input'!$P$7</f>
        <v>Scenario D: @home in town and country</v>
      </c>
      <c r="K340" s="727"/>
      <c r="L340" s="727" t="s">
        <v>249</v>
      </c>
      <c r="M340" s="727"/>
      <c r="N340" s="727"/>
      <c r="O340" s="727"/>
      <c r="P340" s="727"/>
      <c r="Q340" s="727" t="s">
        <v>196</v>
      </c>
      <c r="R340" s="727" t="s">
        <v>26</v>
      </c>
      <c r="S340" s="727"/>
      <c r="T340" s="727"/>
      <c r="U340" s="727"/>
      <c r="V340" s="732"/>
      <c r="W340" s="726"/>
    </row>
    <row r="341" spans="1:23" s="723" customFormat="1" ht="15.5" x14ac:dyDescent="0.35">
      <c r="A341" s="723" t="str">
        <f t="shared" si="5"/>
        <v>Scen5_2_Walk__05-14_f</v>
      </c>
      <c r="B341" s="727"/>
      <c r="C341" s="723" t="s">
        <v>406</v>
      </c>
      <c r="D341" s="727">
        <v>2</v>
      </c>
      <c r="E341" s="727" t="s">
        <v>118</v>
      </c>
      <c r="F341" s="726" t="s">
        <v>379</v>
      </c>
      <c r="G341" s="727"/>
      <c r="H341" s="723" t="str">
        <f>'MoT Travel Input'!$P$7</f>
        <v>Scenario D: @home in town and country</v>
      </c>
      <c r="K341" s="727"/>
      <c r="L341" s="727" t="s">
        <v>249</v>
      </c>
      <c r="M341" s="727"/>
      <c r="N341" s="727"/>
      <c r="O341" s="727"/>
      <c r="P341" s="727"/>
      <c r="Q341" s="727" t="s">
        <v>191</v>
      </c>
      <c r="R341" s="727" t="s">
        <v>26</v>
      </c>
      <c r="S341" s="727"/>
      <c r="T341" s="727"/>
      <c r="U341" s="727"/>
      <c r="V341" s="732"/>
      <c r="W341" s="726"/>
    </row>
    <row r="342" spans="1:23" s="723" customFormat="1" ht="15.5" x14ac:dyDescent="0.35">
      <c r="A342" s="723" t="str">
        <f t="shared" si="5"/>
        <v>Scen5_2_Walk__15-29_f</v>
      </c>
      <c r="B342" s="727"/>
      <c r="C342" s="723" t="s">
        <v>406</v>
      </c>
      <c r="D342" s="727">
        <v>2</v>
      </c>
      <c r="E342" s="727" t="s">
        <v>118</v>
      </c>
      <c r="F342" s="726" t="s">
        <v>379</v>
      </c>
      <c r="G342" s="727"/>
      <c r="H342" s="723" t="str">
        <f>'MoT Travel Input'!$P$7</f>
        <v>Scenario D: @home in town and country</v>
      </c>
      <c r="K342" s="727"/>
      <c r="L342" s="727" t="s">
        <v>249</v>
      </c>
      <c r="M342" s="727"/>
      <c r="N342" s="727"/>
      <c r="O342" s="727"/>
      <c r="P342" s="727"/>
      <c r="Q342" s="727" t="s">
        <v>4</v>
      </c>
      <c r="R342" s="727" t="s">
        <v>26</v>
      </c>
      <c r="S342" s="727"/>
      <c r="T342" s="727"/>
      <c r="U342" s="727"/>
      <c r="V342" s="732"/>
      <c r="W342" s="726"/>
    </row>
    <row r="343" spans="1:23" s="723" customFormat="1" ht="15.5" x14ac:dyDescent="0.35">
      <c r="A343" s="723" t="str">
        <f t="shared" si="5"/>
        <v>Scen5_2_Walk__30-44_f</v>
      </c>
      <c r="B343" s="727"/>
      <c r="C343" s="723" t="s">
        <v>406</v>
      </c>
      <c r="D343" s="727">
        <v>2</v>
      </c>
      <c r="E343" s="727" t="s">
        <v>118</v>
      </c>
      <c r="F343" s="726" t="s">
        <v>379</v>
      </c>
      <c r="G343" s="727"/>
      <c r="H343" s="723" t="str">
        <f>'MoT Travel Input'!$P$7</f>
        <v>Scenario D: @home in town and country</v>
      </c>
      <c r="K343" s="727"/>
      <c r="L343" s="727" t="s">
        <v>249</v>
      </c>
      <c r="M343" s="727"/>
      <c r="N343" s="727"/>
      <c r="O343" s="727"/>
      <c r="P343" s="727"/>
      <c r="Q343" s="727" t="s">
        <v>5</v>
      </c>
      <c r="R343" s="727" t="s">
        <v>26</v>
      </c>
      <c r="S343" s="727"/>
      <c r="T343" s="727"/>
      <c r="U343" s="727"/>
      <c r="V343" s="732"/>
      <c r="W343" s="726"/>
    </row>
    <row r="344" spans="1:23" s="723" customFormat="1" ht="15.5" x14ac:dyDescent="0.35">
      <c r="A344" s="723" t="str">
        <f t="shared" si="5"/>
        <v>Scen5_2_Walk__45-59_f</v>
      </c>
      <c r="B344" s="727"/>
      <c r="C344" s="723" t="s">
        <v>406</v>
      </c>
      <c r="D344" s="727">
        <v>2</v>
      </c>
      <c r="E344" s="727" t="s">
        <v>118</v>
      </c>
      <c r="F344" s="726" t="s">
        <v>379</v>
      </c>
      <c r="G344" s="727"/>
      <c r="H344" s="723" t="str">
        <f>'MoT Travel Input'!$P$7</f>
        <v>Scenario D: @home in town and country</v>
      </c>
      <c r="K344" s="727"/>
      <c r="L344" s="727" t="s">
        <v>249</v>
      </c>
      <c r="M344" s="727"/>
      <c r="N344" s="727"/>
      <c r="O344" s="727"/>
      <c r="P344" s="727"/>
      <c r="Q344" s="727" t="s">
        <v>6</v>
      </c>
      <c r="R344" s="727" t="s">
        <v>26</v>
      </c>
      <c r="S344" s="727"/>
      <c r="T344" s="727"/>
      <c r="U344" s="727"/>
      <c r="V344" s="732"/>
      <c r="W344" s="726"/>
    </row>
    <row r="345" spans="1:23" s="723" customFormat="1" ht="15.5" x14ac:dyDescent="0.35">
      <c r="A345" s="723" t="str">
        <f t="shared" si="5"/>
        <v>Scen5_2_Walk__60-69_f</v>
      </c>
      <c r="B345" s="727"/>
      <c r="C345" s="723" t="s">
        <v>406</v>
      </c>
      <c r="D345" s="727">
        <v>2</v>
      </c>
      <c r="E345" s="727" t="s">
        <v>118</v>
      </c>
      <c r="F345" s="726" t="s">
        <v>379</v>
      </c>
      <c r="G345" s="727"/>
      <c r="H345" s="723" t="str">
        <f>'MoT Travel Input'!$P$7</f>
        <v>Scenario D: @home in town and country</v>
      </c>
      <c r="K345" s="727"/>
      <c r="L345" s="727" t="s">
        <v>249</v>
      </c>
      <c r="M345" s="727"/>
      <c r="N345" s="727"/>
      <c r="O345" s="727"/>
      <c r="P345" s="727"/>
      <c r="Q345" s="727" t="s">
        <v>7</v>
      </c>
      <c r="R345" s="727" t="s">
        <v>26</v>
      </c>
      <c r="S345" s="727"/>
      <c r="T345" s="727"/>
      <c r="U345" s="727"/>
      <c r="V345" s="732"/>
      <c r="W345" s="726"/>
    </row>
    <row r="346" spans="1:23" s="723" customFormat="1" ht="15.5" x14ac:dyDescent="0.35">
      <c r="A346" s="723" t="str">
        <f t="shared" si="5"/>
        <v>Scen5_2_Walk__70-79_f</v>
      </c>
      <c r="B346" s="727"/>
      <c r="C346" s="723" t="s">
        <v>406</v>
      </c>
      <c r="D346" s="727">
        <v>2</v>
      </c>
      <c r="E346" s="727" t="s">
        <v>118</v>
      </c>
      <c r="F346" s="726" t="s">
        <v>379</v>
      </c>
      <c r="G346" s="727"/>
      <c r="H346" s="723" t="str">
        <f>'MoT Travel Input'!$P$7</f>
        <v>Scenario D: @home in town and country</v>
      </c>
      <c r="K346" s="727"/>
      <c r="L346" s="727" t="s">
        <v>249</v>
      </c>
      <c r="M346" s="727"/>
      <c r="N346" s="727"/>
      <c r="O346" s="727"/>
      <c r="P346" s="727"/>
      <c r="Q346" s="727" t="s">
        <v>8</v>
      </c>
      <c r="R346" s="727" t="s">
        <v>26</v>
      </c>
      <c r="S346" s="727"/>
      <c r="T346" s="727"/>
      <c r="U346" s="727"/>
      <c r="V346" s="732"/>
      <c r="W346" s="726"/>
    </row>
    <row r="347" spans="1:23" s="723" customFormat="1" ht="15.5" x14ac:dyDescent="0.35">
      <c r="A347" s="723" t="str">
        <f t="shared" si="5"/>
        <v>Scen5_2_Walk__80+_f</v>
      </c>
      <c r="B347" s="727"/>
      <c r="C347" s="723" t="s">
        <v>406</v>
      </c>
      <c r="D347" s="727">
        <v>2</v>
      </c>
      <c r="E347" s="727" t="s">
        <v>118</v>
      </c>
      <c r="F347" s="726" t="s">
        <v>379</v>
      </c>
      <c r="G347" s="727"/>
      <c r="H347" s="723" t="str">
        <f>'MoT Travel Input'!$P$7</f>
        <v>Scenario D: @home in town and country</v>
      </c>
      <c r="K347" s="727"/>
      <c r="L347" s="727" t="s">
        <v>249</v>
      </c>
      <c r="M347" s="727"/>
      <c r="N347" s="727"/>
      <c r="O347" s="727"/>
      <c r="P347" s="727"/>
      <c r="Q347" s="727" t="s">
        <v>9</v>
      </c>
      <c r="R347" s="727" t="s">
        <v>26</v>
      </c>
      <c r="S347" s="727"/>
      <c r="T347" s="727"/>
      <c r="U347" s="727"/>
      <c r="V347" s="732"/>
      <c r="W347" s="726"/>
    </row>
    <row r="348" spans="1:23" s="723" customFormat="1" ht="15.5" x14ac:dyDescent="0.35">
      <c r="A348" s="723" t="str">
        <f t="shared" si="5"/>
        <v>Scen5_2_Walk__00-04_m</v>
      </c>
      <c r="B348" s="727"/>
      <c r="C348" s="723" t="s">
        <v>406</v>
      </c>
      <c r="D348" s="727">
        <v>2</v>
      </c>
      <c r="E348" s="727" t="s">
        <v>118</v>
      </c>
      <c r="F348" s="726" t="s">
        <v>379</v>
      </c>
      <c r="G348" s="727"/>
      <c r="H348" s="723" t="str">
        <f>'MoT Travel Input'!$P$7</f>
        <v>Scenario D: @home in town and country</v>
      </c>
      <c r="K348" s="727"/>
      <c r="L348" s="727" t="s">
        <v>249</v>
      </c>
      <c r="M348" s="727"/>
      <c r="N348" s="727"/>
      <c r="O348" s="727"/>
      <c r="P348" s="727"/>
      <c r="Q348" s="727" t="s">
        <v>196</v>
      </c>
      <c r="R348" s="727" t="s">
        <v>25</v>
      </c>
      <c r="S348" s="727"/>
      <c r="T348" s="727"/>
      <c r="U348" s="727"/>
      <c r="V348" s="732"/>
      <c r="W348" s="726"/>
    </row>
    <row r="349" spans="1:23" s="723" customFormat="1" ht="15.5" x14ac:dyDescent="0.35">
      <c r="A349" s="723" t="str">
        <f t="shared" si="5"/>
        <v>Scen5_2_Walk__05-14_m</v>
      </c>
      <c r="B349" s="727"/>
      <c r="C349" s="723" t="s">
        <v>406</v>
      </c>
      <c r="D349" s="727">
        <v>2</v>
      </c>
      <c r="E349" s="727" t="s">
        <v>118</v>
      </c>
      <c r="F349" s="726" t="s">
        <v>379</v>
      </c>
      <c r="G349" s="727"/>
      <c r="H349" s="723" t="str">
        <f>'MoT Travel Input'!$P$7</f>
        <v>Scenario D: @home in town and country</v>
      </c>
      <c r="K349" s="727"/>
      <c r="L349" s="727" t="s">
        <v>249</v>
      </c>
      <c r="M349" s="727"/>
      <c r="N349" s="727"/>
      <c r="O349" s="727"/>
      <c r="P349" s="727"/>
      <c r="Q349" s="727" t="s">
        <v>191</v>
      </c>
      <c r="R349" s="727" t="s">
        <v>25</v>
      </c>
      <c r="S349" s="727"/>
      <c r="T349" s="727"/>
      <c r="U349" s="727"/>
      <c r="V349" s="732"/>
      <c r="W349" s="726"/>
    </row>
    <row r="350" spans="1:23" s="723" customFormat="1" ht="15.5" x14ac:dyDescent="0.35">
      <c r="A350" s="723" t="str">
        <f t="shared" si="5"/>
        <v>Scen5_2_Walk__15-29_m</v>
      </c>
      <c r="B350" s="727"/>
      <c r="C350" s="723" t="s">
        <v>406</v>
      </c>
      <c r="D350" s="727">
        <v>2</v>
      </c>
      <c r="E350" s="727" t="s">
        <v>118</v>
      </c>
      <c r="F350" s="726" t="s">
        <v>379</v>
      </c>
      <c r="G350" s="727"/>
      <c r="H350" s="723" t="str">
        <f>'MoT Travel Input'!$P$7</f>
        <v>Scenario D: @home in town and country</v>
      </c>
      <c r="K350" s="727"/>
      <c r="L350" s="727" t="s">
        <v>249</v>
      </c>
      <c r="M350" s="727"/>
      <c r="N350" s="727"/>
      <c r="O350" s="727"/>
      <c r="P350" s="727"/>
      <c r="Q350" s="727" t="s">
        <v>4</v>
      </c>
      <c r="R350" s="727" t="s">
        <v>25</v>
      </c>
      <c r="S350" s="727"/>
      <c r="T350" s="727"/>
      <c r="U350" s="727"/>
      <c r="V350" s="732"/>
      <c r="W350" s="726"/>
    </row>
    <row r="351" spans="1:23" s="723" customFormat="1" ht="15.5" x14ac:dyDescent="0.35">
      <c r="A351" s="723" t="str">
        <f t="shared" si="5"/>
        <v>Scen5_2_Walk__30-44_m</v>
      </c>
      <c r="B351" s="727"/>
      <c r="C351" s="723" t="s">
        <v>406</v>
      </c>
      <c r="D351" s="727">
        <v>2</v>
      </c>
      <c r="E351" s="727" t="s">
        <v>118</v>
      </c>
      <c r="F351" s="726" t="s">
        <v>379</v>
      </c>
      <c r="G351" s="727"/>
      <c r="H351" s="723" t="str">
        <f>'MoT Travel Input'!$P$7</f>
        <v>Scenario D: @home in town and country</v>
      </c>
      <c r="K351" s="727"/>
      <c r="L351" s="727" t="s">
        <v>249</v>
      </c>
      <c r="M351" s="727"/>
      <c r="N351" s="727"/>
      <c r="O351" s="727"/>
      <c r="P351" s="727"/>
      <c r="Q351" s="727" t="s">
        <v>5</v>
      </c>
      <c r="R351" s="727" t="s">
        <v>25</v>
      </c>
      <c r="S351" s="727"/>
      <c r="T351" s="727"/>
      <c r="U351" s="727"/>
      <c r="V351" s="732"/>
      <c r="W351" s="726"/>
    </row>
    <row r="352" spans="1:23" s="723" customFormat="1" ht="15.5" x14ac:dyDescent="0.35">
      <c r="A352" s="723" t="str">
        <f t="shared" si="5"/>
        <v>Scen5_2_Walk__45-59_m</v>
      </c>
      <c r="B352" s="727"/>
      <c r="C352" s="723" t="s">
        <v>406</v>
      </c>
      <c r="D352" s="727">
        <v>2</v>
      </c>
      <c r="E352" s="727" t="s">
        <v>118</v>
      </c>
      <c r="F352" s="726" t="s">
        <v>379</v>
      </c>
      <c r="G352" s="727"/>
      <c r="H352" s="723" t="str">
        <f>'MoT Travel Input'!$P$7</f>
        <v>Scenario D: @home in town and country</v>
      </c>
      <c r="K352" s="727"/>
      <c r="L352" s="727" t="s">
        <v>249</v>
      </c>
      <c r="M352" s="727"/>
      <c r="N352" s="727"/>
      <c r="O352" s="727"/>
      <c r="P352" s="727"/>
      <c r="Q352" s="727" t="s">
        <v>6</v>
      </c>
      <c r="R352" s="727" t="s">
        <v>25</v>
      </c>
      <c r="S352" s="727"/>
      <c r="T352" s="727"/>
      <c r="U352" s="727"/>
      <c r="V352" s="732"/>
      <c r="W352" s="726"/>
    </row>
    <row r="353" spans="1:23" s="723" customFormat="1" ht="15.5" x14ac:dyDescent="0.35">
      <c r="A353" s="723" t="str">
        <f t="shared" si="5"/>
        <v>Scen5_2_Walk__60-69_m</v>
      </c>
      <c r="B353" s="727"/>
      <c r="C353" s="723" t="s">
        <v>406</v>
      </c>
      <c r="D353" s="727">
        <v>2</v>
      </c>
      <c r="E353" s="727" t="s">
        <v>118</v>
      </c>
      <c r="F353" s="726" t="s">
        <v>379</v>
      </c>
      <c r="G353" s="727"/>
      <c r="H353" s="723" t="str">
        <f>'MoT Travel Input'!$P$7</f>
        <v>Scenario D: @home in town and country</v>
      </c>
      <c r="K353" s="727"/>
      <c r="L353" s="727" t="s">
        <v>249</v>
      </c>
      <c r="M353" s="727"/>
      <c r="N353" s="727"/>
      <c r="O353" s="727"/>
      <c r="P353" s="727"/>
      <c r="Q353" s="727" t="s">
        <v>7</v>
      </c>
      <c r="R353" s="727" t="s">
        <v>25</v>
      </c>
      <c r="S353" s="727"/>
      <c r="T353" s="727"/>
      <c r="U353" s="727"/>
      <c r="V353" s="732"/>
      <c r="W353" s="726"/>
    </row>
    <row r="354" spans="1:23" s="723" customFormat="1" ht="15.5" x14ac:dyDescent="0.35">
      <c r="A354" s="723" t="str">
        <f t="shared" si="5"/>
        <v>Scen5_2_Walk__70-79_m</v>
      </c>
      <c r="B354" s="727"/>
      <c r="C354" s="723" t="s">
        <v>406</v>
      </c>
      <c r="D354" s="727">
        <v>2</v>
      </c>
      <c r="E354" s="727" t="s">
        <v>118</v>
      </c>
      <c r="F354" s="726" t="s">
        <v>379</v>
      </c>
      <c r="G354" s="727"/>
      <c r="H354" s="723" t="str">
        <f>'MoT Travel Input'!$P$7</f>
        <v>Scenario D: @home in town and country</v>
      </c>
      <c r="K354" s="727"/>
      <c r="L354" s="727" t="s">
        <v>249</v>
      </c>
      <c r="M354" s="727"/>
      <c r="N354" s="727"/>
      <c r="O354" s="727"/>
      <c r="P354" s="727"/>
      <c r="Q354" s="727" t="s">
        <v>8</v>
      </c>
      <c r="R354" s="727" t="s">
        <v>25</v>
      </c>
      <c r="S354" s="727"/>
      <c r="T354" s="727"/>
      <c r="U354" s="727"/>
      <c r="V354" s="732"/>
      <c r="W354" s="726"/>
    </row>
    <row r="355" spans="1:23" s="723" customFormat="1" ht="15.5" x14ac:dyDescent="0.35">
      <c r="A355" s="723" t="str">
        <f t="shared" si="5"/>
        <v>Scen5_2_Walk__80+_m</v>
      </c>
      <c r="B355" s="727"/>
      <c r="C355" s="723" t="s">
        <v>406</v>
      </c>
      <c r="D355" s="727">
        <v>2</v>
      </c>
      <c r="E355" s="727" t="s">
        <v>118</v>
      </c>
      <c r="F355" s="726" t="s">
        <v>379</v>
      </c>
      <c r="G355" s="727"/>
      <c r="H355" s="723" t="str">
        <f>'MoT Travel Input'!$P$7</f>
        <v>Scenario D: @home in town and country</v>
      </c>
      <c r="K355" s="727"/>
      <c r="L355" s="727" t="s">
        <v>249</v>
      </c>
      <c r="M355" s="727"/>
      <c r="N355" s="727"/>
      <c r="O355" s="727"/>
      <c r="P355" s="727"/>
      <c r="Q355" s="727" t="s">
        <v>9</v>
      </c>
      <c r="R355" s="727" t="s">
        <v>25</v>
      </c>
      <c r="S355" s="727"/>
      <c r="T355" s="727"/>
      <c r="U355" s="727"/>
      <c r="V355" s="732"/>
      <c r="W355" s="726"/>
    </row>
  </sheetData>
  <sortState ref="A2:X161">
    <sortCondition ref="A1"/>
  </sortState>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3"/>
  <sheetViews>
    <sheetView topLeftCell="H1" zoomScaleNormal="100" zoomScalePageLayoutView="110" workbookViewId="0">
      <pane ySplit="1" topLeftCell="A107" activePane="bottomLeft" state="frozen"/>
      <selection activeCell="F1" sqref="F1"/>
      <selection pane="bottomLeft" activeCell="R147" sqref="R147"/>
    </sheetView>
  </sheetViews>
  <sheetFormatPr defaultColWidth="10.81640625" defaultRowHeight="12.5" x14ac:dyDescent="0.25"/>
  <cols>
    <col min="1" max="1" width="7.7265625" style="322" bestFit="1" customWidth="1"/>
    <col min="2" max="2" width="9.81640625" style="322" bestFit="1" customWidth="1"/>
    <col min="3" max="3" width="6.7265625" style="322" bestFit="1" customWidth="1"/>
    <col min="4" max="4" width="74.81640625" style="322" bestFit="1" customWidth="1"/>
    <col min="5" max="5" width="18.1796875" style="322" bestFit="1" customWidth="1"/>
    <col min="6" max="6" width="10" style="322" bestFit="1" customWidth="1"/>
    <col min="7" max="7" width="16.1796875" style="322" bestFit="1" customWidth="1"/>
    <col min="8" max="8" width="11.81640625" style="322" bestFit="1" customWidth="1"/>
    <col min="9" max="9" width="33.1796875" style="322" customWidth="1"/>
    <col min="10" max="10" width="16.1796875" style="322" customWidth="1"/>
    <col min="11" max="11" width="21.81640625" style="322" bestFit="1" customWidth="1"/>
    <col min="12" max="12" width="15.453125" style="322" bestFit="1" customWidth="1"/>
    <col min="13" max="13" width="10" style="322" bestFit="1" customWidth="1"/>
    <col min="14" max="14" width="9.1796875" style="322" bestFit="1" customWidth="1"/>
    <col min="15" max="15" width="6.7265625" style="322" bestFit="1" customWidth="1"/>
    <col min="16" max="16" width="12.7265625" style="322" bestFit="1" customWidth="1"/>
    <col min="17" max="17" width="22.7265625" style="322" bestFit="1" customWidth="1"/>
    <col min="18" max="18" width="14.453125" style="322" bestFit="1" customWidth="1"/>
    <col min="19" max="19" width="12.7265625" style="322" bestFit="1" customWidth="1"/>
    <col min="20" max="20" width="12.7265625" style="322" customWidth="1"/>
    <col min="21" max="21" width="18.7265625" style="322" customWidth="1"/>
    <col min="22" max="16384" width="10.81640625" style="322"/>
  </cols>
  <sheetData>
    <row r="1" spans="1:23" ht="12.75" customHeight="1" x14ac:dyDescent="0.25">
      <c r="A1" s="434" t="s">
        <v>198</v>
      </c>
      <c r="B1" s="435" t="s">
        <v>199</v>
      </c>
      <c r="C1" s="435" t="s">
        <v>200</v>
      </c>
      <c r="D1" s="435" t="s">
        <v>201</v>
      </c>
      <c r="E1" s="435" t="s">
        <v>202</v>
      </c>
      <c r="F1" s="435" t="s">
        <v>204</v>
      </c>
      <c r="G1" s="435" t="s">
        <v>206</v>
      </c>
      <c r="H1" s="435" t="s">
        <v>207</v>
      </c>
      <c r="I1" s="435" t="s">
        <v>208</v>
      </c>
      <c r="J1" s="435" t="s">
        <v>209</v>
      </c>
      <c r="K1" s="435" t="s">
        <v>210</v>
      </c>
      <c r="L1" s="435" t="s">
        <v>211</v>
      </c>
      <c r="M1" s="435" t="s">
        <v>212</v>
      </c>
      <c r="N1" s="435" t="s">
        <v>213</v>
      </c>
      <c r="O1" s="435" t="s">
        <v>67</v>
      </c>
      <c r="P1" s="435" t="s">
        <v>214</v>
      </c>
      <c r="Q1" s="436" t="s">
        <v>215</v>
      </c>
      <c r="R1" s="435" t="s">
        <v>216</v>
      </c>
      <c r="S1" s="435" t="s">
        <v>217</v>
      </c>
      <c r="T1" s="435" t="s">
        <v>218</v>
      </c>
      <c r="U1" s="437" t="s">
        <v>237</v>
      </c>
    </row>
    <row r="2" spans="1:23" x14ac:dyDescent="0.25">
      <c r="A2" s="322">
        <v>1</v>
      </c>
      <c r="B2" s="322">
        <v>0</v>
      </c>
      <c r="C2" s="322">
        <v>1</v>
      </c>
      <c r="D2" s="322" t="s">
        <v>219</v>
      </c>
      <c r="E2" s="322" t="s">
        <v>278</v>
      </c>
      <c r="F2" s="322">
        <v>2013</v>
      </c>
      <c r="G2" s="322" t="s">
        <v>360</v>
      </c>
      <c r="H2" s="322">
        <v>5</v>
      </c>
      <c r="I2" s="322" t="s">
        <v>250</v>
      </c>
      <c r="J2" s="322">
        <v>1</v>
      </c>
      <c r="K2" s="322" t="s">
        <v>287</v>
      </c>
      <c r="L2" s="322" t="s">
        <v>281</v>
      </c>
      <c r="M2" s="322" t="s">
        <v>288</v>
      </c>
      <c r="N2" s="322" t="s">
        <v>221</v>
      </c>
      <c r="O2" s="322" t="s">
        <v>222</v>
      </c>
      <c r="P2" s="322">
        <v>24030</v>
      </c>
      <c r="Q2" s="545">
        <v>4503794.000000935</v>
      </c>
      <c r="R2" s="545">
        <v>0.94709831796458432</v>
      </c>
      <c r="S2" s="188"/>
      <c r="U2" s="599">
        <v>42583</v>
      </c>
      <c r="V2" s="322" t="s">
        <v>361</v>
      </c>
      <c r="W2" s="545"/>
    </row>
    <row r="3" spans="1:23" x14ac:dyDescent="0.25">
      <c r="A3" s="322">
        <v>1</v>
      </c>
      <c r="B3" s="322">
        <v>0</v>
      </c>
      <c r="C3" s="322">
        <v>1</v>
      </c>
      <c r="D3" s="322" t="s">
        <v>219</v>
      </c>
      <c r="E3" s="322" t="s">
        <v>278</v>
      </c>
      <c r="F3" s="545">
        <v>2013</v>
      </c>
      <c r="G3" s="545" t="s">
        <v>360</v>
      </c>
      <c r="H3" s="322">
        <v>5</v>
      </c>
      <c r="I3" s="322" t="s">
        <v>249</v>
      </c>
      <c r="J3" s="322">
        <v>2</v>
      </c>
      <c r="K3" s="322" t="s">
        <v>287</v>
      </c>
      <c r="L3" s="322" t="s">
        <v>281</v>
      </c>
      <c r="M3" s="322" t="s">
        <v>288</v>
      </c>
      <c r="N3" s="322" t="s">
        <v>221</v>
      </c>
      <c r="O3" s="322" t="s">
        <v>222</v>
      </c>
      <c r="P3" s="322">
        <v>24030</v>
      </c>
      <c r="Q3" s="545">
        <v>4503794.000000935</v>
      </c>
      <c r="R3" s="545">
        <v>7.6077921997203557</v>
      </c>
      <c r="U3" s="599">
        <v>42583</v>
      </c>
      <c r="V3" s="545" t="s">
        <v>361</v>
      </c>
      <c r="W3" s="545"/>
    </row>
    <row r="4" spans="1:23" x14ac:dyDescent="0.25">
      <c r="A4" s="322">
        <v>1</v>
      </c>
      <c r="B4" s="322">
        <v>0</v>
      </c>
      <c r="C4" s="322">
        <v>1</v>
      </c>
      <c r="D4" s="322" t="s">
        <v>219</v>
      </c>
      <c r="E4" s="322" t="s">
        <v>278</v>
      </c>
      <c r="F4" s="545">
        <v>2013</v>
      </c>
      <c r="G4" s="545" t="s">
        <v>360</v>
      </c>
      <c r="H4" s="322">
        <v>5</v>
      </c>
      <c r="I4" s="322" t="s">
        <v>294</v>
      </c>
      <c r="J4" s="322">
        <v>3</v>
      </c>
      <c r="K4" s="322" t="s">
        <v>287</v>
      </c>
      <c r="L4" s="322" t="s">
        <v>281</v>
      </c>
      <c r="M4" s="322" t="s">
        <v>288</v>
      </c>
      <c r="N4" s="322" t="s">
        <v>221</v>
      </c>
      <c r="O4" s="322" t="s">
        <v>222</v>
      </c>
      <c r="P4" s="322">
        <v>24030</v>
      </c>
      <c r="Q4" s="545">
        <v>4503794.000000935</v>
      </c>
      <c r="R4" s="545">
        <v>31.170345808122814</v>
      </c>
      <c r="U4" s="599">
        <v>42583</v>
      </c>
      <c r="V4" s="545" t="s">
        <v>361</v>
      </c>
      <c r="W4" s="545"/>
    </row>
    <row r="5" spans="1:23" x14ac:dyDescent="0.25">
      <c r="A5" s="322">
        <v>1</v>
      </c>
      <c r="B5" s="322">
        <v>0</v>
      </c>
      <c r="C5" s="322">
        <v>1</v>
      </c>
      <c r="D5" s="322" t="s">
        <v>219</v>
      </c>
      <c r="E5" s="322" t="s">
        <v>278</v>
      </c>
      <c r="F5" s="545">
        <v>2013</v>
      </c>
      <c r="G5" s="545" t="s">
        <v>360</v>
      </c>
      <c r="H5" s="322">
        <v>5</v>
      </c>
      <c r="I5" s="322" t="s">
        <v>295</v>
      </c>
      <c r="J5" s="322">
        <v>4</v>
      </c>
      <c r="K5" s="322" t="s">
        <v>287</v>
      </c>
      <c r="L5" s="322" t="s">
        <v>281</v>
      </c>
      <c r="M5" s="322" t="s">
        <v>288</v>
      </c>
      <c r="N5" s="322" t="s">
        <v>221</v>
      </c>
      <c r="O5" s="322" t="s">
        <v>222</v>
      </c>
      <c r="P5" s="322">
        <v>24030</v>
      </c>
      <c r="Q5" s="545">
        <v>4503794.000000935</v>
      </c>
      <c r="R5" s="545">
        <v>16.082692547373529</v>
      </c>
      <c r="U5" s="599">
        <v>42583</v>
      </c>
      <c r="V5" s="545" t="s">
        <v>361</v>
      </c>
      <c r="W5" s="545"/>
    </row>
    <row r="6" spans="1:23" x14ac:dyDescent="0.25">
      <c r="A6" s="322">
        <v>1</v>
      </c>
      <c r="B6" s="322">
        <v>0</v>
      </c>
      <c r="C6" s="322">
        <v>1</v>
      </c>
      <c r="D6" s="322" t="s">
        <v>219</v>
      </c>
      <c r="E6" s="322" t="s">
        <v>278</v>
      </c>
      <c r="F6" s="545">
        <v>2013</v>
      </c>
      <c r="G6" s="545" t="s">
        <v>360</v>
      </c>
      <c r="H6" s="322">
        <v>5</v>
      </c>
      <c r="I6" s="322" t="s">
        <v>242</v>
      </c>
      <c r="J6" s="322">
        <v>5</v>
      </c>
      <c r="K6" s="322" t="s">
        <v>287</v>
      </c>
      <c r="L6" s="322" t="s">
        <v>281</v>
      </c>
      <c r="M6" s="322" t="s">
        <v>288</v>
      </c>
      <c r="N6" s="322" t="s">
        <v>221</v>
      </c>
      <c r="O6" s="322" t="s">
        <v>222</v>
      </c>
      <c r="P6" s="322">
        <v>24030</v>
      </c>
      <c r="Q6" s="545">
        <v>4503794.000000935</v>
      </c>
      <c r="R6" s="545">
        <v>2.2616333533196298</v>
      </c>
      <c r="U6" s="599">
        <v>42583</v>
      </c>
      <c r="V6" s="545" t="s">
        <v>361</v>
      </c>
      <c r="W6" s="545"/>
    </row>
    <row r="7" spans="1:23" x14ac:dyDescent="0.25">
      <c r="A7" s="322">
        <v>1</v>
      </c>
      <c r="B7" s="322">
        <v>0</v>
      </c>
      <c r="C7" s="322">
        <v>1</v>
      </c>
      <c r="D7" s="322" t="s">
        <v>219</v>
      </c>
      <c r="E7" s="322" t="s">
        <v>278</v>
      </c>
      <c r="F7" s="545">
        <v>2013</v>
      </c>
      <c r="G7" s="545" t="s">
        <v>360</v>
      </c>
      <c r="H7" s="322">
        <v>5</v>
      </c>
      <c r="I7" s="322" t="s">
        <v>289</v>
      </c>
      <c r="J7" s="322">
        <v>6</v>
      </c>
      <c r="K7" s="322" t="s">
        <v>287</v>
      </c>
      <c r="L7" s="322" t="s">
        <v>281</v>
      </c>
      <c r="M7" s="322" t="s">
        <v>288</v>
      </c>
      <c r="N7" s="322" t="s">
        <v>221</v>
      </c>
      <c r="O7" s="322" t="s">
        <v>222</v>
      </c>
      <c r="P7" s="322">
        <v>24030</v>
      </c>
      <c r="Q7" s="545">
        <v>4503794.000000935</v>
      </c>
      <c r="R7" s="545">
        <v>0.3159450305251566</v>
      </c>
      <c r="U7" s="599">
        <v>42583</v>
      </c>
      <c r="V7" s="545" t="s">
        <v>361</v>
      </c>
      <c r="W7" s="545"/>
    </row>
    <row r="8" spans="1:23" x14ac:dyDescent="0.25">
      <c r="A8" s="322">
        <v>1</v>
      </c>
      <c r="B8" s="322">
        <v>0</v>
      </c>
      <c r="C8" s="322">
        <v>1</v>
      </c>
      <c r="D8" s="322" t="s">
        <v>219</v>
      </c>
      <c r="E8" s="322" t="s">
        <v>278</v>
      </c>
      <c r="F8" s="545">
        <v>2013</v>
      </c>
      <c r="G8" s="545" t="s">
        <v>360</v>
      </c>
      <c r="H8" s="322">
        <v>5</v>
      </c>
      <c r="I8" s="322" t="s">
        <v>290</v>
      </c>
      <c r="J8" s="322">
        <v>7</v>
      </c>
      <c r="K8" s="322" t="s">
        <v>287</v>
      </c>
      <c r="L8" s="322" t="s">
        <v>281</v>
      </c>
      <c r="M8" s="322" t="s">
        <v>288</v>
      </c>
      <c r="N8" s="322" t="s">
        <v>221</v>
      </c>
      <c r="O8" s="322" t="s">
        <v>222</v>
      </c>
      <c r="P8" s="322">
        <v>24030</v>
      </c>
      <c r="Q8" s="545">
        <v>4503794.000000935</v>
      </c>
      <c r="R8" s="545">
        <v>0.17790146834712972</v>
      </c>
      <c r="U8" s="599">
        <v>42583</v>
      </c>
      <c r="V8" s="545" t="s">
        <v>361</v>
      </c>
      <c r="W8" s="545"/>
    </row>
    <row r="9" spans="1:23" x14ac:dyDescent="0.25">
      <c r="A9" s="322">
        <v>1</v>
      </c>
      <c r="B9" s="322">
        <v>0</v>
      </c>
      <c r="C9" s="322">
        <v>2</v>
      </c>
      <c r="D9" s="322" t="s">
        <v>291</v>
      </c>
      <c r="E9" s="322" t="s">
        <v>278</v>
      </c>
      <c r="F9" s="545">
        <v>2013</v>
      </c>
      <c r="G9" s="545" t="s">
        <v>360</v>
      </c>
      <c r="H9" s="322">
        <v>5</v>
      </c>
      <c r="I9" s="322" t="s">
        <v>250</v>
      </c>
      <c r="J9" s="322">
        <v>1</v>
      </c>
      <c r="K9" s="322" t="s">
        <v>287</v>
      </c>
      <c r="L9" s="322" t="s">
        <v>281</v>
      </c>
      <c r="M9" s="322" t="s">
        <v>288</v>
      </c>
      <c r="N9" s="322" t="s">
        <v>196</v>
      </c>
      <c r="O9" s="322" t="s">
        <v>10</v>
      </c>
      <c r="P9" s="322">
        <v>393</v>
      </c>
      <c r="Q9" s="545">
        <v>148079.30380016996</v>
      </c>
      <c r="R9" s="545">
        <v>0.33201617689395502</v>
      </c>
      <c r="U9" s="599">
        <v>42583</v>
      </c>
      <c r="V9" s="545" t="s">
        <v>361</v>
      </c>
      <c r="W9" s="545"/>
    </row>
    <row r="10" spans="1:23" x14ac:dyDescent="0.25">
      <c r="A10" s="322">
        <v>1</v>
      </c>
      <c r="B10" s="322">
        <v>0</v>
      </c>
      <c r="C10" s="322">
        <v>2</v>
      </c>
      <c r="D10" s="322" t="s">
        <v>291</v>
      </c>
      <c r="E10" s="322" t="s">
        <v>278</v>
      </c>
      <c r="F10" s="545">
        <v>2013</v>
      </c>
      <c r="G10" s="545" t="s">
        <v>360</v>
      </c>
      <c r="H10" s="322">
        <v>5</v>
      </c>
      <c r="I10" s="322" t="s">
        <v>250</v>
      </c>
      <c r="J10" s="322">
        <v>1</v>
      </c>
      <c r="K10" s="322" t="s">
        <v>287</v>
      </c>
      <c r="L10" s="322" t="s">
        <v>281</v>
      </c>
      <c r="M10" s="322" t="s">
        <v>288</v>
      </c>
      <c r="N10" s="455" t="s">
        <v>191</v>
      </c>
      <c r="O10" s="322" t="s">
        <v>10</v>
      </c>
      <c r="P10" s="322">
        <v>1429</v>
      </c>
      <c r="Q10" s="545">
        <v>287559.8559058251</v>
      </c>
      <c r="R10" s="545">
        <v>1.702512523244367</v>
      </c>
      <c r="U10" s="599">
        <v>42583</v>
      </c>
      <c r="V10" s="545" t="s">
        <v>361</v>
      </c>
      <c r="W10" s="545"/>
    </row>
    <row r="11" spans="1:23" x14ac:dyDescent="0.25">
      <c r="A11" s="322">
        <v>1</v>
      </c>
      <c r="B11" s="322">
        <v>0</v>
      </c>
      <c r="C11" s="322">
        <v>2</v>
      </c>
      <c r="D11" s="322" t="s">
        <v>291</v>
      </c>
      <c r="E11" s="322" t="s">
        <v>278</v>
      </c>
      <c r="F11" s="545">
        <v>2013</v>
      </c>
      <c r="G11" s="545" t="s">
        <v>360</v>
      </c>
      <c r="H11" s="322">
        <v>5</v>
      </c>
      <c r="I11" s="322" t="s">
        <v>250</v>
      </c>
      <c r="J11" s="322">
        <v>1</v>
      </c>
      <c r="K11" s="322" t="s">
        <v>287</v>
      </c>
      <c r="L11" s="322" t="s">
        <v>281</v>
      </c>
      <c r="M11" s="322" t="s">
        <v>288</v>
      </c>
      <c r="N11" s="322" t="s">
        <v>4</v>
      </c>
      <c r="O11" s="322" t="s">
        <v>10</v>
      </c>
      <c r="P11" s="322">
        <v>1444</v>
      </c>
      <c r="Q11" s="545">
        <v>467529.25005226023</v>
      </c>
      <c r="R11" s="545">
        <v>1</v>
      </c>
      <c r="U11" s="599">
        <v>42583</v>
      </c>
      <c r="V11" s="545" t="s">
        <v>361</v>
      </c>
      <c r="W11" s="545"/>
    </row>
    <row r="12" spans="1:23" x14ac:dyDescent="0.25">
      <c r="A12" s="322">
        <v>1</v>
      </c>
      <c r="B12" s="322">
        <v>0</v>
      </c>
      <c r="C12" s="322">
        <v>2</v>
      </c>
      <c r="D12" s="322" t="s">
        <v>291</v>
      </c>
      <c r="E12" s="322" t="s">
        <v>278</v>
      </c>
      <c r="F12" s="545">
        <v>2013</v>
      </c>
      <c r="G12" s="545" t="s">
        <v>360</v>
      </c>
      <c r="H12" s="322">
        <v>5</v>
      </c>
      <c r="I12" s="322" t="s">
        <v>250</v>
      </c>
      <c r="J12" s="322">
        <v>1</v>
      </c>
      <c r="K12" s="322" t="s">
        <v>287</v>
      </c>
      <c r="L12" s="322" t="s">
        <v>281</v>
      </c>
      <c r="M12" s="322" t="s">
        <v>288</v>
      </c>
      <c r="N12" s="322" t="s">
        <v>5</v>
      </c>
      <c r="O12" s="322" t="s">
        <v>10</v>
      </c>
      <c r="P12" s="322">
        <v>1997</v>
      </c>
      <c r="Q12" s="545">
        <v>454041.35323828587</v>
      </c>
      <c r="R12" s="545">
        <v>1.1912355983677274</v>
      </c>
      <c r="U12" s="599">
        <v>42583</v>
      </c>
      <c r="V12" s="545" t="s">
        <v>361</v>
      </c>
      <c r="W12" s="545"/>
    </row>
    <row r="13" spans="1:23" x14ac:dyDescent="0.25">
      <c r="A13" s="322">
        <v>1</v>
      </c>
      <c r="B13" s="322">
        <v>0</v>
      </c>
      <c r="C13" s="322">
        <v>2</v>
      </c>
      <c r="D13" s="322" t="s">
        <v>291</v>
      </c>
      <c r="E13" s="322" t="s">
        <v>278</v>
      </c>
      <c r="F13" s="545">
        <v>2013</v>
      </c>
      <c r="G13" s="545" t="s">
        <v>360</v>
      </c>
      <c r="H13" s="322">
        <v>5</v>
      </c>
      <c r="I13" s="322" t="s">
        <v>250</v>
      </c>
      <c r="J13" s="322">
        <v>1</v>
      </c>
      <c r="K13" s="322" t="s">
        <v>287</v>
      </c>
      <c r="L13" s="322" t="s">
        <v>281</v>
      </c>
      <c r="M13" s="322" t="s">
        <v>288</v>
      </c>
      <c r="N13" s="322" t="s">
        <v>6</v>
      </c>
      <c r="O13" s="322" t="s">
        <v>10</v>
      </c>
      <c r="P13" s="322">
        <v>3708</v>
      </c>
      <c r="Q13" s="545">
        <v>462705.59008273948</v>
      </c>
      <c r="R13" s="545">
        <v>3.4608264344733777</v>
      </c>
      <c r="U13" s="599">
        <v>42583</v>
      </c>
      <c r="V13" s="545" t="s">
        <v>361</v>
      </c>
      <c r="W13" s="545"/>
    </row>
    <row r="14" spans="1:23" x14ac:dyDescent="0.25">
      <c r="A14" s="322">
        <v>1</v>
      </c>
      <c r="B14" s="322">
        <v>0</v>
      </c>
      <c r="C14" s="322">
        <v>2</v>
      </c>
      <c r="D14" s="322" t="s">
        <v>291</v>
      </c>
      <c r="E14" s="322" t="s">
        <v>278</v>
      </c>
      <c r="F14" s="545">
        <v>2013</v>
      </c>
      <c r="G14" s="545" t="s">
        <v>360</v>
      </c>
      <c r="H14" s="322">
        <v>5</v>
      </c>
      <c r="I14" s="322" t="s">
        <v>250</v>
      </c>
      <c r="J14" s="322">
        <v>1</v>
      </c>
      <c r="K14" s="322" t="s">
        <v>287</v>
      </c>
      <c r="L14" s="322" t="s">
        <v>281</v>
      </c>
      <c r="M14" s="322" t="s">
        <v>288</v>
      </c>
      <c r="N14" s="322" t="s">
        <v>7</v>
      </c>
      <c r="O14" s="322" t="s">
        <v>10</v>
      </c>
      <c r="P14" s="322">
        <v>2165</v>
      </c>
      <c r="Q14" s="545">
        <v>229056.51836175221</v>
      </c>
      <c r="R14" s="545">
        <v>0.34642735219066312</v>
      </c>
      <c r="U14" s="599">
        <v>42583</v>
      </c>
      <c r="V14" s="545" t="s">
        <v>361</v>
      </c>
      <c r="W14" s="545"/>
    </row>
    <row r="15" spans="1:23" x14ac:dyDescent="0.25">
      <c r="A15" s="322">
        <v>1</v>
      </c>
      <c r="B15" s="322">
        <v>0</v>
      </c>
      <c r="C15" s="322">
        <v>2</v>
      </c>
      <c r="D15" s="322" t="s">
        <v>291</v>
      </c>
      <c r="E15" s="322" t="s">
        <v>278</v>
      </c>
      <c r="F15" s="545">
        <v>2013</v>
      </c>
      <c r="G15" s="545" t="s">
        <v>360</v>
      </c>
      <c r="H15" s="322">
        <v>5</v>
      </c>
      <c r="I15" s="322" t="s">
        <v>250</v>
      </c>
      <c r="J15" s="322">
        <v>1</v>
      </c>
      <c r="K15" s="322" t="s">
        <v>287</v>
      </c>
      <c r="L15" s="322" t="s">
        <v>281</v>
      </c>
      <c r="M15" s="322" t="s">
        <v>288</v>
      </c>
      <c r="N15" s="322" t="s">
        <v>8</v>
      </c>
      <c r="O15" s="322" t="s">
        <v>10</v>
      </c>
      <c r="P15" s="322">
        <v>722</v>
      </c>
      <c r="Q15" s="545">
        <v>141376.44103056003</v>
      </c>
      <c r="R15" s="545">
        <v>0.8432932765935035</v>
      </c>
      <c r="U15" s="599">
        <v>42583</v>
      </c>
      <c r="V15" s="545" t="s">
        <v>361</v>
      </c>
      <c r="W15" s="545"/>
    </row>
    <row r="16" spans="1:23" x14ac:dyDescent="0.25">
      <c r="A16" s="322">
        <v>1</v>
      </c>
      <c r="B16" s="322">
        <v>0</v>
      </c>
      <c r="C16" s="322">
        <v>2</v>
      </c>
      <c r="D16" s="322" t="s">
        <v>291</v>
      </c>
      <c r="E16" s="322" t="s">
        <v>278</v>
      </c>
      <c r="F16" s="545">
        <v>2013</v>
      </c>
      <c r="G16" s="545" t="s">
        <v>360</v>
      </c>
      <c r="H16" s="322">
        <v>5</v>
      </c>
      <c r="I16" s="322" t="s">
        <v>250</v>
      </c>
      <c r="J16" s="322">
        <v>1</v>
      </c>
      <c r="K16" s="322" t="s">
        <v>287</v>
      </c>
      <c r="L16" s="322" t="s">
        <v>281</v>
      </c>
      <c r="M16" s="322" t="s">
        <v>288</v>
      </c>
      <c r="N16" s="322" t="s">
        <v>9</v>
      </c>
      <c r="O16" s="322" t="s">
        <v>10</v>
      </c>
      <c r="P16" s="322">
        <v>412</v>
      </c>
      <c r="Q16" s="545">
        <v>97437.008389729963</v>
      </c>
      <c r="R16" s="545">
        <v>0.31490347565450538</v>
      </c>
      <c r="U16" s="599">
        <v>42583</v>
      </c>
      <c r="V16" s="545" t="s">
        <v>361</v>
      </c>
      <c r="W16" s="545"/>
    </row>
    <row r="17" spans="1:23" x14ac:dyDescent="0.25">
      <c r="A17" s="322">
        <v>1</v>
      </c>
      <c r="B17" s="322">
        <v>0</v>
      </c>
      <c r="C17" s="322">
        <v>2</v>
      </c>
      <c r="D17" s="322" t="s">
        <v>291</v>
      </c>
      <c r="E17" s="322" t="s">
        <v>278</v>
      </c>
      <c r="F17" s="545">
        <v>2013</v>
      </c>
      <c r="G17" s="545" t="s">
        <v>360</v>
      </c>
      <c r="H17" s="322">
        <v>5</v>
      </c>
      <c r="I17" s="322" t="s">
        <v>250</v>
      </c>
      <c r="J17" s="322">
        <v>1</v>
      </c>
      <c r="K17" s="322" t="s">
        <v>287</v>
      </c>
      <c r="L17" s="322" t="s">
        <v>281</v>
      </c>
      <c r="M17" s="322" t="s">
        <v>288</v>
      </c>
      <c r="N17" s="322" t="s">
        <v>196</v>
      </c>
      <c r="O17" s="322" t="s">
        <v>282</v>
      </c>
      <c r="P17" s="322">
        <v>396</v>
      </c>
      <c r="Q17" s="545">
        <v>158026.02928650985</v>
      </c>
      <c r="R17" s="545">
        <v>0.14985555251216795</v>
      </c>
      <c r="U17" s="599">
        <v>42583</v>
      </c>
      <c r="V17" s="545" t="s">
        <v>361</v>
      </c>
      <c r="W17" s="545"/>
    </row>
    <row r="18" spans="1:23" x14ac:dyDescent="0.25">
      <c r="A18" s="322">
        <v>1</v>
      </c>
      <c r="B18" s="322">
        <v>0</v>
      </c>
      <c r="C18" s="322">
        <v>2</v>
      </c>
      <c r="D18" s="322" t="s">
        <v>291</v>
      </c>
      <c r="E18" s="322" t="s">
        <v>278</v>
      </c>
      <c r="F18" s="545">
        <v>2013</v>
      </c>
      <c r="G18" s="545" t="s">
        <v>360</v>
      </c>
      <c r="H18" s="322">
        <v>5</v>
      </c>
      <c r="I18" s="322" t="s">
        <v>250</v>
      </c>
      <c r="J18" s="322">
        <v>1</v>
      </c>
      <c r="K18" s="322" t="s">
        <v>287</v>
      </c>
      <c r="L18" s="322" t="s">
        <v>281</v>
      </c>
      <c r="M18" s="322" t="s">
        <v>288</v>
      </c>
      <c r="N18" s="455" t="s">
        <v>191</v>
      </c>
      <c r="O18" s="322" t="s">
        <v>282</v>
      </c>
      <c r="P18" s="322">
        <v>1421</v>
      </c>
      <c r="Q18" s="545">
        <v>299101.83597966697</v>
      </c>
      <c r="R18" s="545">
        <v>2.7635499052890284</v>
      </c>
      <c r="U18" s="599">
        <v>42583</v>
      </c>
      <c r="V18" s="545" t="s">
        <v>361</v>
      </c>
      <c r="W18" s="545"/>
    </row>
    <row r="19" spans="1:23" x14ac:dyDescent="0.25">
      <c r="A19" s="322">
        <v>1</v>
      </c>
      <c r="B19" s="322">
        <v>0</v>
      </c>
      <c r="C19" s="322">
        <v>2</v>
      </c>
      <c r="D19" s="322" t="s">
        <v>291</v>
      </c>
      <c r="E19" s="322" t="s">
        <v>278</v>
      </c>
      <c r="F19" s="545">
        <v>2013</v>
      </c>
      <c r="G19" s="545" t="s">
        <v>360</v>
      </c>
      <c r="H19" s="322">
        <v>5</v>
      </c>
      <c r="I19" s="322" t="s">
        <v>250</v>
      </c>
      <c r="J19" s="322">
        <v>1</v>
      </c>
      <c r="K19" s="322" t="s">
        <v>287</v>
      </c>
      <c r="L19" s="322" t="s">
        <v>281</v>
      </c>
      <c r="M19" s="322" t="s">
        <v>288</v>
      </c>
      <c r="N19" s="322" t="s">
        <v>4</v>
      </c>
      <c r="O19" s="322" t="s">
        <v>282</v>
      </c>
      <c r="P19" s="322">
        <v>1601</v>
      </c>
      <c r="Q19" s="545">
        <v>491322.79948251031</v>
      </c>
      <c r="R19" s="545">
        <v>2.3910524323580478</v>
      </c>
      <c r="U19" s="599">
        <v>42583</v>
      </c>
      <c r="V19" s="545" t="s">
        <v>361</v>
      </c>
      <c r="W19" s="545"/>
    </row>
    <row r="20" spans="1:23" x14ac:dyDescent="0.25">
      <c r="A20" s="322">
        <v>1</v>
      </c>
      <c r="B20" s="322">
        <v>0</v>
      </c>
      <c r="C20" s="322">
        <v>2</v>
      </c>
      <c r="D20" s="322" t="s">
        <v>291</v>
      </c>
      <c r="E20" s="322" t="s">
        <v>278</v>
      </c>
      <c r="F20" s="545">
        <v>2013</v>
      </c>
      <c r="G20" s="545" t="s">
        <v>360</v>
      </c>
      <c r="H20" s="322">
        <v>5</v>
      </c>
      <c r="I20" s="322" t="s">
        <v>250</v>
      </c>
      <c r="J20" s="322">
        <v>1</v>
      </c>
      <c r="K20" s="322" t="s">
        <v>287</v>
      </c>
      <c r="L20" s="322" t="s">
        <v>281</v>
      </c>
      <c r="M20" s="322" t="s">
        <v>288</v>
      </c>
      <c r="N20" s="322" t="s">
        <v>5</v>
      </c>
      <c r="O20" s="322" t="s">
        <v>282</v>
      </c>
      <c r="P20" s="322">
        <v>1765</v>
      </c>
      <c r="Q20" s="545">
        <v>421430.70093579928</v>
      </c>
      <c r="R20" s="545">
        <v>2.7072018230616095</v>
      </c>
      <c r="U20" s="599">
        <v>42583</v>
      </c>
      <c r="V20" s="545" t="s">
        <v>361</v>
      </c>
      <c r="W20" s="545"/>
    </row>
    <row r="21" spans="1:23" x14ac:dyDescent="0.25">
      <c r="A21" s="322">
        <v>1</v>
      </c>
      <c r="B21" s="322">
        <v>0</v>
      </c>
      <c r="C21" s="322">
        <v>2</v>
      </c>
      <c r="D21" s="322" t="s">
        <v>291</v>
      </c>
      <c r="E21" s="322" t="s">
        <v>278</v>
      </c>
      <c r="F21" s="545">
        <v>2013</v>
      </c>
      <c r="G21" s="545" t="s">
        <v>360</v>
      </c>
      <c r="H21" s="322">
        <v>5</v>
      </c>
      <c r="I21" s="322" t="s">
        <v>250</v>
      </c>
      <c r="J21" s="322">
        <v>1</v>
      </c>
      <c r="K21" s="322" t="s">
        <v>287</v>
      </c>
      <c r="L21" s="322" t="s">
        <v>281</v>
      </c>
      <c r="M21" s="322" t="s">
        <v>288</v>
      </c>
      <c r="N21" s="322" t="s">
        <v>6</v>
      </c>
      <c r="O21" s="322" t="s">
        <v>282</v>
      </c>
      <c r="P21" s="322">
        <v>3373</v>
      </c>
      <c r="Q21" s="545">
        <v>434581.76697344024</v>
      </c>
      <c r="R21" s="545">
        <v>7.758948858258476</v>
      </c>
      <c r="U21" s="599">
        <v>42583</v>
      </c>
      <c r="V21" s="545" t="s">
        <v>361</v>
      </c>
      <c r="W21" s="545"/>
    </row>
    <row r="22" spans="1:23" x14ac:dyDescent="0.25">
      <c r="A22" s="322">
        <v>1</v>
      </c>
      <c r="B22" s="322">
        <v>0</v>
      </c>
      <c r="C22" s="322">
        <v>2</v>
      </c>
      <c r="D22" s="322" t="s">
        <v>291</v>
      </c>
      <c r="E22" s="322" t="s">
        <v>278</v>
      </c>
      <c r="F22" s="545">
        <v>2013</v>
      </c>
      <c r="G22" s="545" t="s">
        <v>360</v>
      </c>
      <c r="H22" s="322">
        <v>5</v>
      </c>
      <c r="I22" s="322" t="s">
        <v>250</v>
      </c>
      <c r="J22" s="322">
        <v>1</v>
      </c>
      <c r="K22" s="322" t="s">
        <v>287</v>
      </c>
      <c r="L22" s="322" t="s">
        <v>281</v>
      </c>
      <c r="M22" s="322" t="s">
        <v>288</v>
      </c>
      <c r="N22" s="322" t="s">
        <v>7</v>
      </c>
      <c r="O22" s="322" t="s">
        <v>282</v>
      </c>
      <c r="P22" s="322">
        <v>2094</v>
      </c>
      <c r="Q22" s="545">
        <v>218196.64121860504</v>
      </c>
      <c r="R22" s="545">
        <v>0.68007307207670809</v>
      </c>
      <c r="U22" s="599">
        <v>42583</v>
      </c>
      <c r="V22" s="545" t="s">
        <v>361</v>
      </c>
      <c r="W22" s="545"/>
    </row>
    <row r="23" spans="1:23" x14ac:dyDescent="0.25">
      <c r="A23" s="322">
        <v>1</v>
      </c>
      <c r="B23" s="322">
        <v>0</v>
      </c>
      <c r="C23" s="322">
        <v>2</v>
      </c>
      <c r="D23" s="322" t="s">
        <v>291</v>
      </c>
      <c r="E23" s="322" t="s">
        <v>278</v>
      </c>
      <c r="F23" s="545">
        <v>2013</v>
      </c>
      <c r="G23" s="545" t="s">
        <v>360</v>
      </c>
      <c r="H23" s="322">
        <v>5</v>
      </c>
      <c r="I23" s="322" t="s">
        <v>250</v>
      </c>
      <c r="J23" s="322">
        <v>1</v>
      </c>
      <c r="K23" s="322" t="s">
        <v>287</v>
      </c>
      <c r="L23" s="322" t="s">
        <v>281</v>
      </c>
      <c r="M23" s="322" t="s">
        <v>288</v>
      </c>
      <c r="N23" s="322" t="s">
        <v>8</v>
      </c>
      <c r="O23" s="322" t="s">
        <v>282</v>
      </c>
      <c r="P23" s="322">
        <v>741</v>
      </c>
      <c r="Q23" s="545">
        <v>127562.03183821002</v>
      </c>
      <c r="R23" s="545">
        <v>1.5629289651911593</v>
      </c>
      <c r="U23" s="599">
        <v>42583</v>
      </c>
      <c r="V23" s="545" t="s">
        <v>361</v>
      </c>
      <c r="W23" s="545"/>
    </row>
    <row r="24" spans="1:23" x14ac:dyDescent="0.25">
      <c r="A24" s="322">
        <v>1</v>
      </c>
      <c r="B24" s="322">
        <v>0</v>
      </c>
      <c r="C24" s="322">
        <v>2</v>
      </c>
      <c r="D24" s="322" t="s">
        <v>291</v>
      </c>
      <c r="E24" s="322" t="s">
        <v>278</v>
      </c>
      <c r="F24" s="545">
        <v>2013</v>
      </c>
      <c r="G24" s="545" t="s">
        <v>360</v>
      </c>
      <c r="H24" s="322">
        <v>5</v>
      </c>
      <c r="I24" s="322" t="s">
        <v>250</v>
      </c>
      <c r="J24" s="322">
        <v>1</v>
      </c>
      <c r="K24" s="322" t="s">
        <v>287</v>
      </c>
      <c r="L24" s="322" t="s">
        <v>281</v>
      </c>
      <c r="M24" s="322" t="s">
        <v>288</v>
      </c>
      <c r="N24" s="322" t="s">
        <v>9</v>
      </c>
      <c r="O24" s="322" t="s">
        <v>282</v>
      </c>
      <c r="P24" s="322">
        <v>281</v>
      </c>
      <c r="Q24" s="545">
        <v>65786.873424869977</v>
      </c>
      <c r="R24" s="545">
        <v>1.4179971361689636</v>
      </c>
      <c r="U24" s="599">
        <v>42583</v>
      </c>
      <c r="V24" s="545" t="s">
        <v>361</v>
      </c>
      <c r="W24" s="545"/>
    </row>
    <row r="25" spans="1:23" x14ac:dyDescent="0.25">
      <c r="A25" s="322">
        <v>1</v>
      </c>
      <c r="B25" s="322">
        <v>0</v>
      </c>
      <c r="C25" s="322">
        <v>2</v>
      </c>
      <c r="D25" s="322" t="s">
        <v>291</v>
      </c>
      <c r="E25" s="322" t="s">
        <v>278</v>
      </c>
      <c r="F25" s="545">
        <v>2013</v>
      </c>
      <c r="G25" s="545" t="s">
        <v>360</v>
      </c>
      <c r="H25" s="322">
        <v>5</v>
      </c>
      <c r="I25" s="322" t="s">
        <v>249</v>
      </c>
      <c r="J25" s="322">
        <v>2</v>
      </c>
      <c r="K25" s="322" t="s">
        <v>287</v>
      </c>
      <c r="L25" s="322" t="s">
        <v>281</v>
      </c>
      <c r="M25" s="322" t="s">
        <v>288</v>
      </c>
      <c r="N25" s="322" t="s">
        <v>196</v>
      </c>
      <c r="O25" s="322" t="s">
        <v>10</v>
      </c>
      <c r="P25" s="322">
        <v>393</v>
      </c>
      <c r="Q25" s="545">
        <v>148079.30380016996</v>
      </c>
      <c r="R25" s="545">
        <v>0.36039890357545301</v>
      </c>
      <c r="U25" s="599">
        <v>42583</v>
      </c>
      <c r="V25" s="545" t="s">
        <v>361</v>
      </c>
      <c r="W25" s="545"/>
    </row>
    <row r="26" spans="1:23" x14ac:dyDescent="0.25">
      <c r="A26" s="322">
        <v>1</v>
      </c>
      <c r="B26" s="322">
        <v>0</v>
      </c>
      <c r="C26" s="322">
        <v>2</v>
      </c>
      <c r="D26" s="322" t="s">
        <v>291</v>
      </c>
      <c r="E26" s="322" t="s">
        <v>278</v>
      </c>
      <c r="F26" s="545">
        <v>2013</v>
      </c>
      <c r="G26" s="545" t="s">
        <v>360</v>
      </c>
      <c r="H26" s="322">
        <v>5</v>
      </c>
      <c r="I26" s="322" t="s">
        <v>249</v>
      </c>
      <c r="J26" s="322">
        <v>2</v>
      </c>
      <c r="K26" s="322" t="s">
        <v>287</v>
      </c>
      <c r="L26" s="322" t="s">
        <v>281</v>
      </c>
      <c r="M26" s="322" t="s">
        <v>288</v>
      </c>
      <c r="N26" s="455" t="s">
        <v>191</v>
      </c>
      <c r="O26" s="322" t="s">
        <v>10</v>
      </c>
      <c r="P26" s="322">
        <v>1429</v>
      </c>
      <c r="Q26" s="545">
        <v>287559.8559058251</v>
      </c>
      <c r="R26" s="545">
        <v>1.0936509173598967</v>
      </c>
      <c r="U26" s="599">
        <v>42583</v>
      </c>
      <c r="V26" s="545" t="s">
        <v>361</v>
      </c>
      <c r="W26" s="545"/>
    </row>
    <row r="27" spans="1:23" x14ac:dyDescent="0.25">
      <c r="A27" s="322">
        <v>1</v>
      </c>
      <c r="B27" s="322">
        <v>0</v>
      </c>
      <c r="C27" s="322">
        <v>2</v>
      </c>
      <c r="D27" s="322" t="s">
        <v>291</v>
      </c>
      <c r="E27" s="322" t="s">
        <v>278</v>
      </c>
      <c r="F27" s="545">
        <v>2013</v>
      </c>
      <c r="G27" s="545" t="s">
        <v>360</v>
      </c>
      <c r="H27" s="322">
        <v>5</v>
      </c>
      <c r="I27" s="322" t="s">
        <v>249</v>
      </c>
      <c r="J27" s="322">
        <v>2</v>
      </c>
      <c r="K27" s="322" t="s">
        <v>287</v>
      </c>
      <c r="L27" s="322" t="s">
        <v>281</v>
      </c>
      <c r="M27" s="322" t="s">
        <v>288</v>
      </c>
      <c r="N27" s="322" t="s">
        <v>4</v>
      </c>
      <c r="O27" s="322" t="s">
        <v>10</v>
      </c>
      <c r="P27" s="322">
        <v>1444</v>
      </c>
      <c r="Q27" s="545">
        <v>467529.25005226023</v>
      </c>
      <c r="R27" s="545">
        <v>1</v>
      </c>
      <c r="U27" s="599">
        <v>42583</v>
      </c>
      <c r="V27" s="545" t="s">
        <v>361</v>
      </c>
      <c r="W27" s="545"/>
    </row>
    <row r="28" spans="1:23" x14ac:dyDescent="0.25">
      <c r="A28" s="322">
        <v>1</v>
      </c>
      <c r="B28" s="322">
        <v>0</v>
      </c>
      <c r="C28" s="322">
        <v>2</v>
      </c>
      <c r="D28" s="322" t="s">
        <v>291</v>
      </c>
      <c r="E28" s="322" t="s">
        <v>278</v>
      </c>
      <c r="F28" s="545">
        <v>2013</v>
      </c>
      <c r="G28" s="545" t="s">
        <v>360</v>
      </c>
      <c r="H28" s="322">
        <v>5</v>
      </c>
      <c r="I28" s="322" t="s">
        <v>249</v>
      </c>
      <c r="J28" s="322">
        <v>2</v>
      </c>
      <c r="K28" s="322" t="s">
        <v>287</v>
      </c>
      <c r="L28" s="322" t="s">
        <v>281</v>
      </c>
      <c r="M28" s="322" t="s">
        <v>288</v>
      </c>
      <c r="N28" s="322" t="s">
        <v>5</v>
      </c>
      <c r="O28" s="322" t="s">
        <v>10</v>
      </c>
      <c r="P28" s="322">
        <v>1997</v>
      </c>
      <c r="Q28" s="545">
        <v>454041.35323828587</v>
      </c>
      <c r="R28" s="545">
        <v>0.78316334599237769</v>
      </c>
      <c r="U28" s="599">
        <v>42583</v>
      </c>
      <c r="V28" s="545" t="s">
        <v>361</v>
      </c>
      <c r="W28" s="545"/>
    </row>
    <row r="29" spans="1:23" x14ac:dyDescent="0.25">
      <c r="A29" s="322">
        <v>1</v>
      </c>
      <c r="B29" s="322">
        <v>0</v>
      </c>
      <c r="C29" s="322">
        <v>2</v>
      </c>
      <c r="D29" s="322" t="s">
        <v>291</v>
      </c>
      <c r="E29" s="322" t="s">
        <v>278</v>
      </c>
      <c r="F29" s="545">
        <v>2013</v>
      </c>
      <c r="G29" s="545" t="s">
        <v>360</v>
      </c>
      <c r="H29" s="322">
        <v>5</v>
      </c>
      <c r="I29" s="322" t="s">
        <v>249</v>
      </c>
      <c r="J29" s="322">
        <v>2</v>
      </c>
      <c r="K29" s="322" t="s">
        <v>287</v>
      </c>
      <c r="L29" s="322" t="s">
        <v>281</v>
      </c>
      <c r="M29" s="322" t="s">
        <v>288</v>
      </c>
      <c r="N29" s="322" t="s">
        <v>6</v>
      </c>
      <c r="O29" s="322" t="s">
        <v>10</v>
      </c>
      <c r="P29" s="322">
        <v>3708</v>
      </c>
      <c r="Q29" s="545">
        <v>462705.59008273948</v>
      </c>
      <c r="R29" s="545">
        <v>1.1154648696829688</v>
      </c>
      <c r="U29" s="599">
        <v>42583</v>
      </c>
      <c r="V29" s="545" t="s">
        <v>361</v>
      </c>
      <c r="W29" s="545"/>
    </row>
    <row r="30" spans="1:23" x14ac:dyDescent="0.25">
      <c r="A30" s="322">
        <v>1</v>
      </c>
      <c r="B30" s="322">
        <v>0</v>
      </c>
      <c r="C30" s="322">
        <v>2</v>
      </c>
      <c r="D30" s="322" t="s">
        <v>291</v>
      </c>
      <c r="E30" s="322" t="s">
        <v>278</v>
      </c>
      <c r="F30" s="545">
        <v>2013</v>
      </c>
      <c r="G30" s="545" t="s">
        <v>360</v>
      </c>
      <c r="H30" s="322">
        <v>5</v>
      </c>
      <c r="I30" s="322" t="s">
        <v>249</v>
      </c>
      <c r="J30" s="322">
        <v>2</v>
      </c>
      <c r="K30" s="322" t="s">
        <v>287</v>
      </c>
      <c r="L30" s="322" t="s">
        <v>281</v>
      </c>
      <c r="M30" s="322" t="s">
        <v>288</v>
      </c>
      <c r="N30" s="322" t="s">
        <v>7</v>
      </c>
      <c r="O30" s="322" t="s">
        <v>10</v>
      </c>
      <c r="P30" s="322">
        <v>2165</v>
      </c>
      <c r="Q30" s="545">
        <v>229056.51836175221</v>
      </c>
      <c r="R30" s="545">
        <v>1.0201532886325915</v>
      </c>
      <c r="U30" s="599">
        <v>42583</v>
      </c>
      <c r="V30" s="545" t="s">
        <v>361</v>
      </c>
      <c r="W30" s="545"/>
    </row>
    <row r="31" spans="1:23" x14ac:dyDescent="0.25">
      <c r="A31" s="322">
        <v>1</v>
      </c>
      <c r="B31" s="322">
        <v>0</v>
      </c>
      <c r="C31" s="322">
        <v>2</v>
      </c>
      <c r="D31" s="322" t="s">
        <v>291</v>
      </c>
      <c r="E31" s="322" t="s">
        <v>278</v>
      </c>
      <c r="F31" s="545">
        <v>2013</v>
      </c>
      <c r="G31" s="545" t="s">
        <v>360</v>
      </c>
      <c r="H31" s="322">
        <v>5</v>
      </c>
      <c r="I31" s="322" t="s">
        <v>249</v>
      </c>
      <c r="J31" s="322">
        <v>2</v>
      </c>
      <c r="K31" s="322" t="s">
        <v>287</v>
      </c>
      <c r="L31" s="322" t="s">
        <v>281</v>
      </c>
      <c r="M31" s="322" t="s">
        <v>288</v>
      </c>
      <c r="N31" s="322" t="s">
        <v>8</v>
      </c>
      <c r="O31" s="322" t="s">
        <v>10</v>
      </c>
      <c r="P31" s="322">
        <v>722</v>
      </c>
      <c r="Q31" s="545">
        <v>141376.44103056003</v>
      </c>
      <c r="R31" s="545">
        <v>0.8831145060311737</v>
      </c>
      <c r="U31" s="599">
        <v>42583</v>
      </c>
      <c r="V31" s="545" t="s">
        <v>361</v>
      </c>
      <c r="W31" s="545"/>
    </row>
    <row r="32" spans="1:23" x14ac:dyDescent="0.25">
      <c r="A32" s="322">
        <v>1</v>
      </c>
      <c r="B32" s="322">
        <v>0</v>
      </c>
      <c r="C32" s="322">
        <v>2</v>
      </c>
      <c r="D32" s="322" t="s">
        <v>291</v>
      </c>
      <c r="E32" s="322" t="s">
        <v>278</v>
      </c>
      <c r="F32" s="545">
        <v>2013</v>
      </c>
      <c r="G32" s="545" t="s">
        <v>360</v>
      </c>
      <c r="H32" s="322">
        <v>5</v>
      </c>
      <c r="I32" s="322" t="s">
        <v>249</v>
      </c>
      <c r="J32" s="322">
        <v>2</v>
      </c>
      <c r="K32" s="322" t="s">
        <v>287</v>
      </c>
      <c r="L32" s="322" t="s">
        <v>281</v>
      </c>
      <c r="M32" s="322" t="s">
        <v>288</v>
      </c>
      <c r="N32" s="322" t="s">
        <v>9</v>
      </c>
      <c r="O32" s="322" t="s">
        <v>10</v>
      </c>
      <c r="P32" s="322">
        <v>412</v>
      </c>
      <c r="Q32" s="545">
        <v>97437.008389729963</v>
      </c>
      <c r="R32" s="545">
        <v>0.54759068323896976</v>
      </c>
      <c r="U32" s="599">
        <v>42583</v>
      </c>
      <c r="V32" s="545" t="s">
        <v>361</v>
      </c>
      <c r="W32" s="545"/>
    </row>
    <row r="33" spans="1:23" x14ac:dyDescent="0.25">
      <c r="A33" s="322">
        <v>1</v>
      </c>
      <c r="B33" s="322">
        <v>0</v>
      </c>
      <c r="C33" s="322">
        <v>2</v>
      </c>
      <c r="D33" s="322" t="s">
        <v>291</v>
      </c>
      <c r="E33" s="322" t="s">
        <v>278</v>
      </c>
      <c r="F33" s="545">
        <v>2013</v>
      </c>
      <c r="G33" s="545" t="s">
        <v>360</v>
      </c>
      <c r="H33" s="322">
        <v>5</v>
      </c>
      <c r="I33" s="322" t="s">
        <v>249</v>
      </c>
      <c r="J33" s="322">
        <v>2</v>
      </c>
      <c r="K33" s="322" t="s">
        <v>287</v>
      </c>
      <c r="L33" s="322" t="s">
        <v>281</v>
      </c>
      <c r="M33" s="322" t="s">
        <v>288</v>
      </c>
      <c r="N33" s="322" t="s">
        <v>196</v>
      </c>
      <c r="O33" s="322" t="s">
        <v>282</v>
      </c>
      <c r="P33" s="322">
        <v>396</v>
      </c>
      <c r="Q33" s="545">
        <v>158026.02928650985</v>
      </c>
      <c r="R33" s="545">
        <v>0.73421897311853945</v>
      </c>
      <c r="U33" s="599">
        <v>42583</v>
      </c>
      <c r="V33" s="545" t="s">
        <v>361</v>
      </c>
      <c r="W33" s="545"/>
    </row>
    <row r="34" spans="1:23" x14ac:dyDescent="0.25">
      <c r="A34" s="322">
        <v>1</v>
      </c>
      <c r="B34" s="322">
        <v>0</v>
      </c>
      <c r="C34" s="322">
        <v>2</v>
      </c>
      <c r="D34" s="322" t="s">
        <v>291</v>
      </c>
      <c r="E34" s="322" t="s">
        <v>278</v>
      </c>
      <c r="F34" s="545">
        <v>2013</v>
      </c>
      <c r="G34" s="545" t="s">
        <v>360</v>
      </c>
      <c r="H34" s="322">
        <v>5</v>
      </c>
      <c r="I34" s="322" t="s">
        <v>249</v>
      </c>
      <c r="J34" s="322">
        <v>2</v>
      </c>
      <c r="K34" s="322" t="s">
        <v>287</v>
      </c>
      <c r="L34" s="322" t="s">
        <v>281</v>
      </c>
      <c r="M34" s="322" t="s">
        <v>288</v>
      </c>
      <c r="N34" s="455" t="s">
        <v>191</v>
      </c>
      <c r="O34" s="322" t="s">
        <v>282</v>
      </c>
      <c r="P34" s="322">
        <v>1421</v>
      </c>
      <c r="Q34" s="545">
        <v>299101.83597966697</v>
      </c>
      <c r="R34" s="545">
        <v>1.1056732402973335</v>
      </c>
      <c r="U34" s="599">
        <v>42583</v>
      </c>
      <c r="V34" s="545" t="s">
        <v>361</v>
      </c>
      <c r="W34" s="545"/>
    </row>
    <row r="35" spans="1:23" x14ac:dyDescent="0.25">
      <c r="A35" s="322">
        <v>1</v>
      </c>
      <c r="B35" s="322">
        <v>0</v>
      </c>
      <c r="C35" s="322">
        <v>2</v>
      </c>
      <c r="D35" s="322" t="s">
        <v>291</v>
      </c>
      <c r="E35" s="322" t="s">
        <v>278</v>
      </c>
      <c r="F35" s="545">
        <v>2013</v>
      </c>
      <c r="G35" s="545" t="s">
        <v>360</v>
      </c>
      <c r="H35" s="322">
        <v>5</v>
      </c>
      <c r="I35" s="322" t="s">
        <v>249</v>
      </c>
      <c r="J35" s="322">
        <v>2</v>
      </c>
      <c r="K35" s="322" t="s">
        <v>287</v>
      </c>
      <c r="L35" s="322" t="s">
        <v>281</v>
      </c>
      <c r="M35" s="322" t="s">
        <v>288</v>
      </c>
      <c r="N35" s="322" t="s">
        <v>4</v>
      </c>
      <c r="O35" s="322" t="s">
        <v>282</v>
      </c>
      <c r="P35" s="322">
        <v>1601</v>
      </c>
      <c r="Q35" s="545">
        <v>491322.79948251031</v>
      </c>
      <c r="R35" s="545">
        <v>0.91417563862305196</v>
      </c>
      <c r="U35" s="599">
        <v>42583</v>
      </c>
      <c r="V35" s="545" t="s">
        <v>361</v>
      </c>
      <c r="W35" s="545"/>
    </row>
    <row r="36" spans="1:23" x14ac:dyDescent="0.25">
      <c r="A36" s="322">
        <v>1</v>
      </c>
      <c r="B36" s="322">
        <v>0</v>
      </c>
      <c r="C36" s="322">
        <v>2</v>
      </c>
      <c r="D36" s="322" t="s">
        <v>291</v>
      </c>
      <c r="E36" s="322" t="s">
        <v>278</v>
      </c>
      <c r="F36" s="545">
        <v>2013</v>
      </c>
      <c r="G36" s="545" t="s">
        <v>360</v>
      </c>
      <c r="H36" s="322">
        <v>5</v>
      </c>
      <c r="I36" s="322" t="s">
        <v>249</v>
      </c>
      <c r="J36" s="322">
        <v>2</v>
      </c>
      <c r="K36" s="322" t="s">
        <v>287</v>
      </c>
      <c r="L36" s="322" t="s">
        <v>281</v>
      </c>
      <c r="M36" s="322" t="s">
        <v>288</v>
      </c>
      <c r="N36" s="322" t="s">
        <v>5</v>
      </c>
      <c r="O36" s="322" t="s">
        <v>282</v>
      </c>
      <c r="P36" s="322">
        <v>1765</v>
      </c>
      <c r="Q36" s="545">
        <v>421430.70093579928</v>
      </c>
      <c r="R36" s="545">
        <v>0.4966244044375544</v>
      </c>
      <c r="U36" s="599">
        <v>42583</v>
      </c>
      <c r="V36" s="545" t="s">
        <v>361</v>
      </c>
      <c r="W36" s="545"/>
    </row>
    <row r="37" spans="1:23" x14ac:dyDescent="0.25">
      <c r="A37" s="322">
        <v>1</v>
      </c>
      <c r="B37" s="322">
        <v>0</v>
      </c>
      <c r="C37" s="322">
        <v>2</v>
      </c>
      <c r="D37" s="322" t="s">
        <v>291</v>
      </c>
      <c r="E37" s="322" t="s">
        <v>278</v>
      </c>
      <c r="F37" s="545">
        <v>2013</v>
      </c>
      <c r="G37" s="545" t="s">
        <v>360</v>
      </c>
      <c r="H37" s="322">
        <v>5</v>
      </c>
      <c r="I37" s="322" t="s">
        <v>249</v>
      </c>
      <c r="J37" s="322">
        <v>2</v>
      </c>
      <c r="K37" s="322" t="s">
        <v>287</v>
      </c>
      <c r="L37" s="322" t="s">
        <v>281</v>
      </c>
      <c r="M37" s="322" t="s">
        <v>288</v>
      </c>
      <c r="N37" s="322" t="s">
        <v>6</v>
      </c>
      <c r="O37" s="322" t="s">
        <v>282</v>
      </c>
      <c r="P37" s="322">
        <v>3373</v>
      </c>
      <c r="Q37" s="545">
        <v>434581.76697344024</v>
      </c>
      <c r="R37" s="545">
        <v>0.72703050067204245</v>
      </c>
      <c r="U37" s="599">
        <v>42583</v>
      </c>
      <c r="V37" s="545" t="s">
        <v>361</v>
      </c>
      <c r="W37" s="545"/>
    </row>
    <row r="38" spans="1:23" x14ac:dyDescent="0.25">
      <c r="A38" s="322">
        <v>1</v>
      </c>
      <c r="B38" s="322">
        <v>0</v>
      </c>
      <c r="C38" s="322">
        <v>2</v>
      </c>
      <c r="D38" s="322" t="s">
        <v>291</v>
      </c>
      <c r="E38" s="322" t="s">
        <v>278</v>
      </c>
      <c r="F38" s="545">
        <v>2013</v>
      </c>
      <c r="G38" s="545" t="s">
        <v>360</v>
      </c>
      <c r="H38" s="322">
        <v>5</v>
      </c>
      <c r="I38" s="322" t="s">
        <v>249</v>
      </c>
      <c r="J38" s="322">
        <v>2</v>
      </c>
      <c r="K38" s="322" t="s">
        <v>287</v>
      </c>
      <c r="L38" s="322" t="s">
        <v>281</v>
      </c>
      <c r="M38" s="322" t="s">
        <v>288</v>
      </c>
      <c r="N38" s="322" t="s">
        <v>7</v>
      </c>
      <c r="O38" s="322" t="s">
        <v>282</v>
      </c>
      <c r="P38" s="322">
        <v>2094</v>
      </c>
      <c r="Q38" s="545">
        <v>218196.64121860504</v>
      </c>
      <c r="R38" s="545">
        <v>1.0864541997907604</v>
      </c>
      <c r="U38" s="599">
        <v>42583</v>
      </c>
      <c r="V38" s="545" t="s">
        <v>361</v>
      </c>
      <c r="W38" s="545"/>
    </row>
    <row r="39" spans="1:23" x14ac:dyDescent="0.25">
      <c r="A39" s="322">
        <v>1</v>
      </c>
      <c r="B39" s="322">
        <v>0</v>
      </c>
      <c r="C39" s="322">
        <v>2</v>
      </c>
      <c r="D39" s="322" t="s">
        <v>291</v>
      </c>
      <c r="E39" s="322" t="s">
        <v>278</v>
      </c>
      <c r="F39" s="545">
        <v>2013</v>
      </c>
      <c r="G39" s="545" t="s">
        <v>360</v>
      </c>
      <c r="H39" s="322">
        <v>5</v>
      </c>
      <c r="I39" s="322" t="s">
        <v>249</v>
      </c>
      <c r="J39" s="322">
        <v>2</v>
      </c>
      <c r="K39" s="322" t="s">
        <v>287</v>
      </c>
      <c r="L39" s="322" t="s">
        <v>281</v>
      </c>
      <c r="M39" s="322" t="s">
        <v>288</v>
      </c>
      <c r="N39" s="322" t="s">
        <v>8</v>
      </c>
      <c r="O39" s="322" t="s">
        <v>282</v>
      </c>
      <c r="P39" s="322">
        <v>741</v>
      </c>
      <c r="Q39" s="545">
        <v>127562.03183821002</v>
      </c>
      <c r="R39" s="545">
        <v>1.3799894883774591</v>
      </c>
      <c r="U39" s="599">
        <v>42583</v>
      </c>
      <c r="V39" s="545" t="s">
        <v>361</v>
      </c>
      <c r="W39" s="545"/>
    </row>
    <row r="40" spans="1:23" x14ac:dyDescent="0.25">
      <c r="A40" s="322">
        <v>1</v>
      </c>
      <c r="B40" s="322">
        <v>0</v>
      </c>
      <c r="C40" s="322">
        <v>2</v>
      </c>
      <c r="D40" s="322" t="s">
        <v>291</v>
      </c>
      <c r="E40" s="322" t="s">
        <v>278</v>
      </c>
      <c r="F40" s="545">
        <v>2013</v>
      </c>
      <c r="G40" s="545" t="s">
        <v>360</v>
      </c>
      <c r="H40" s="322">
        <v>5</v>
      </c>
      <c r="I40" s="322" t="s">
        <v>249</v>
      </c>
      <c r="J40" s="322">
        <v>2</v>
      </c>
      <c r="K40" s="322" t="s">
        <v>287</v>
      </c>
      <c r="L40" s="322" t="s">
        <v>281</v>
      </c>
      <c r="M40" s="322" t="s">
        <v>288</v>
      </c>
      <c r="N40" s="322" t="s">
        <v>9</v>
      </c>
      <c r="O40" s="322" t="s">
        <v>282</v>
      </c>
      <c r="P40" s="322">
        <v>281</v>
      </c>
      <c r="Q40" s="545">
        <v>65786.873424869977</v>
      </c>
      <c r="R40" s="545">
        <v>0.71851957906701924</v>
      </c>
      <c r="U40" s="599">
        <v>42583</v>
      </c>
      <c r="V40" s="545" t="s">
        <v>361</v>
      </c>
      <c r="W40" s="545"/>
    </row>
    <row r="41" spans="1:23" x14ac:dyDescent="0.25">
      <c r="A41" s="322">
        <v>1</v>
      </c>
      <c r="B41" s="322">
        <v>0</v>
      </c>
      <c r="C41" s="322">
        <v>3</v>
      </c>
      <c r="D41" s="322" t="s">
        <v>292</v>
      </c>
      <c r="E41" s="322" t="s">
        <v>363</v>
      </c>
      <c r="F41" s="545">
        <v>2013</v>
      </c>
      <c r="G41" s="545" t="s">
        <v>360</v>
      </c>
      <c r="H41" s="322">
        <v>5</v>
      </c>
      <c r="I41" s="322" t="s">
        <v>250</v>
      </c>
      <c r="J41" s="322">
        <v>1</v>
      </c>
      <c r="K41" s="322" t="s">
        <v>287</v>
      </c>
      <c r="L41" s="322" t="s">
        <v>281</v>
      </c>
      <c r="M41" s="322" t="s">
        <v>288</v>
      </c>
      <c r="N41" s="322" t="s">
        <v>221</v>
      </c>
      <c r="O41" s="322" t="s">
        <v>222</v>
      </c>
      <c r="P41" s="322">
        <v>24030</v>
      </c>
      <c r="Q41" s="545">
        <v>4503794.000000935</v>
      </c>
      <c r="R41" s="545">
        <v>0.19903467029663838</v>
      </c>
      <c r="U41" s="599">
        <v>42583</v>
      </c>
      <c r="V41" s="545" t="s">
        <v>361</v>
      </c>
      <c r="W41" s="545"/>
    </row>
    <row r="42" spans="1:23" x14ac:dyDescent="0.25">
      <c r="A42" s="322">
        <v>1</v>
      </c>
      <c r="B42" s="322">
        <v>0</v>
      </c>
      <c r="C42" s="322">
        <v>3</v>
      </c>
      <c r="D42" s="322" t="s">
        <v>292</v>
      </c>
      <c r="E42" s="545" t="s">
        <v>363</v>
      </c>
      <c r="F42" s="545">
        <v>2013</v>
      </c>
      <c r="G42" s="545" t="s">
        <v>360</v>
      </c>
      <c r="H42" s="322">
        <v>5</v>
      </c>
      <c r="I42" s="322" t="s">
        <v>249</v>
      </c>
      <c r="J42" s="322">
        <v>2</v>
      </c>
      <c r="K42" s="322" t="s">
        <v>287</v>
      </c>
      <c r="L42" s="322" t="s">
        <v>281</v>
      </c>
      <c r="M42" s="322" t="s">
        <v>288</v>
      </c>
      <c r="N42" s="322" t="s">
        <v>221</v>
      </c>
      <c r="O42" s="322" t="s">
        <v>222</v>
      </c>
      <c r="P42" s="322">
        <v>24030</v>
      </c>
      <c r="Q42" s="545">
        <v>4503794.000000935</v>
      </c>
      <c r="R42" s="545">
        <v>0.49454209723838244</v>
      </c>
      <c r="U42" s="599">
        <v>42583</v>
      </c>
      <c r="V42" s="545" t="s">
        <v>361</v>
      </c>
      <c r="W42" s="545"/>
    </row>
    <row r="43" spans="1:23" x14ac:dyDescent="0.25">
      <c r="A43" s="322">
        <v>1</v>
      </c>
      <c r="B43" s="322">
        <v>0</v>
      </c>
      <c r="C43" s="322">
        <v>3</v>
      </c>
      <c r="D43" s="322" t="s">
        <v>292</v>
      </c>
      <c r="E43" s="545" t="s">
        <v>363</v>
      </c>
      <c r="F43" s="545">
        <v>2013</v>
      </c>
      <c r="G43" s="545" t="s">
        <v>360</v>
      </c>
      <c r="H43" s="322">
        <v>5</v>
      </c>
      <c r="I43" s="322" t="s">
        <v>294</v>
      </c>
      <c r="J43" s="322">
        <v>3</v>
      </c>
      <c r="K43" s="322" t="s">
        <v>287</v>
      </c>
      <c r="L43" s="322" t="s">
        <v>281</v>
      </c>
      <c r="M43" s="322" t="s">
        <v>288</v>
      </c>
      <c r="N43" s="322" t="s">
        <v>221</v>
      </c>
      <c r="O43" s="322" t="s">
        <v>222</v>
      </c>
      <c r="P43" s="322">
        <v>24030</v>
      </c>
      <c r="Q43" s="545">
        <v>4503794.000000935</v>
      </c>
      <c r="R43" s="545">
        <v>18.907988106981204</v>
      </c>
      <c r="U43" s="599">
        <v>42583</v>
      </c>
      <c r="V43" s="545" t="s">
        <v>361</v>
      </c>
      <c r="W43" s="545"/>
    </row>
    <row r="44" spans="1:23" x14ac:dyDescent="0.25">
      <c r="A44" s="322">
        <v>1</v>
      </c>
      <c r="B44" s="322">
        <v>0</v>
      </c>
      <c r="C44" s="322">
        <v>3</v>
      </c>
      <c r="D44" s="322" t="s">
        <v>292</v>
      </c>
      <c r="E44" s="545" t="s">
        <v>363</v>
      </c>
      <c r="F44" s="545">
        <v>2013</v>
      </c>
      <c r="G44" s="545" t="s">
        <v>360</v>
      </c>
      <c r="H44" s="322">
        <v>5</v>
      </c>
      <c r="I44" s="322" t="s">
        <v>295</v>
      </c>
      <c r="J44" s="322">
        <v>4</v>
      </c>
      <c r="K44" s="322" t="s">
        <v>287</v>
      </c>
      <c r="L44" s="322" t="s">
        <v>281</v>
      </c>
      <c r="M44" s="322" t="s">
        <v>288</v>
      </c>
      <c r="N44" s="322" t="s">
        <v>221</v>
      </c>
      <c r="O44" s="322" t="s">
        <v>222</v>
      </c>
      <c r="P44" s="322">
        <v>24030</v>
      </c>
      <c r="Q44" s="545">
        <v>4503794.000000935</v>
      </c>
      <c r="R44" s="545">
        <v>10.380769409477622</v>
      </c>
      <c r="U44" s="599">
        <v>42583</v>
      </c>
      <c r="V44" s="545" t="s">
        <v>361</v>
      </c>
      <c r="W44" s="545"/>
    </row>
    <row r="45" spans="1:23" x14ac:dyDescent="0.25">
      <c r="A45" s="322">
        <v>1</v>
      </c>
      <c r="B45" s="322">
        <v>0</v>
      </c>
      <c r="C45" s="322">
        <v>3</v>
      </c>
      <c r="D45" s="322" t="s">
        <v>292</v>
      </c>
      <c r="E45" s="545" t="s">
        <v>363</v>
      </c>
      <c r="F45" s="545">
        <v>2013</v>
      </c>
      <c r="G45" s="545" t="s">
        <v>360</v>
      </c>
      <c r="H45" s="322">
        <v>5</v>
      </c>
      <c r="I45" s="322" t="s">
        <v>242</v>
      </c>
      <c r="J45" s="322">
        <v>5</v>
      </c>
      <c r="K45" s="322" t="s">
        <v>287</v>
      </c>
      <c r="L45" s="322" t="s">
        <v>281</v>
      </c>
      <c r="M45" s="322" t="s">
        <v>288</v>
      </c>
      <c r="N45" s="322" t="s">
        <v>221</v>
      </c>
      <c r="O45" s="322" t="s">
        <v>222</v>
      </c>
      <c r="P45" s="322">
        <v>24030</v>
      </c>
      <c r="Q45" s="545">
        <v>4503794.000000935</v>
      </c>
      <c r="R45" s="545">
        <v>0.93347716276800841</v>
      </c>
      <c r="U45" s="599">
        <v>42583</v>
      </c>
      <c r="V45" s="545" t="s">
        <v>361</v>
      </c>
      <c r="W45" s="545"/>
    </row>
    <row r="46" spans="1:23" x14ac:dyDescent="0.25">
      <c r="A46" s="322">
        <v>1</v>
      </c>
      <c r="B46" s="322">
        <v>0</v>
      </c>
      <c r="C46" s="322">
        <v>3</v>
      </c>
      <c r="D46" s="322" t="s">
        <v>292</v>
      </c>
      <c r="E46" s="545" t="s">
        <v>363</v>
      </c>
      <c r="F46" s="545">
        <v>2013</v>
      </c>
      <c r="G46" s="545" t="s">
        <v>360</v>
      </c>
      <c r="H46" s="322">
        <v>5</v>
      </c>
      <c r="I46" s="322" t="s">
        <v>289</v>
      </c>
      <c r="J46" s="322">
        <v>6</v>
      </c>
      <c r="K46" s="322" t="s">
        <v>287</v>
      </c>
      <c r="L46" s="322" t="s">
        <v>281</v>
      </c>
      <c r="M46" s="322" t="s">
        <v>288</v>
      </c>
      <c r="N46" s="322" t="s">
        <v>221</v>
      </c>
      <c r="O46" s="322" t="s">
        <v>222</v>
      </c>
      <c r="P46" s="322">
        <v>24030</v>
      </c>
      <c r="Q46" s="545">
        <v>4503794.000000935</v>
      </c>
      <c r="R46" s="545">
        <v>0.21748889216265341</v>
      </c>
      <c r="U46" s="599">
        <v>42583</v>
      </c>
      <c r="V46" s="545" t="s">
        <v>361</v>
      </c>
      <c r="W46" s="545"/>
    </row>
    <row r="47" spans="1:23" x14ac:dyDescent="0.25">
      <c r="A47" s="322">
        <v>1</v>
      </c>
      <c r="B47" s="322">
        <v>0</v>
      </c>
      <c r="C47" s="322">
        <v>3</v>
      </c>
      <c r="D47" s="322" t="s">
        <v>292</v>
      </c>
      <c r="E47" s="545" t="s">
        <v>363</v>
      </c>
      <c r="F47" s="545">
        <v>2013</v>
      </c>
      <c r="G47" s="545" t="s">
        <v>360</v>
      </c>
      <c r="H47" s="322">
        <v>5</v>
      </c>
      <c r="I47" s="322" t="s">
        <v>290</v>
      </c>
      <c r="J47" s="322">
        <v>7</v>
      </c>
      <c r="K47" s="322" t="s">
        <v>287</v>
      </c>
      <c r="L47" s="322" t="s">
        <v>281</v>
      </c>
      <c r="M47" s="322" t="s">
        <v>288</v>
      </c>
      <c r="N47" s="322" t="s">
        <v>221</v>
      </c>
      <c r="O47" s="322" t="s">
        <v>222</v>
      </c>
      <c r="P47" s="322">
        <v>24030</v>
      </c>
      <c r="Q47" s="545">
        <v>4503794.000000935</v>
      </c>
      <c r="R47" s="545">
        <v>0.12517266002063934</v>
      </c>
      <c r="U47" s="599">
        <v>42583</v>
      </c>
      <c r="V47" s="545" t="s">
        <v>361</v>
      </c>
      <c r="W47" s="545"/>
    </row>
    <row r="48" spans="1:23" ht="12.75" customHeight="1" x14ac:dyDescent="0.25">
      <c r="A48" s="322">
        <v>4</v>
      </c>
      <c r="B48" s="322" t="s">
        <v>230</v>
      </c>
      <c r="C48" s="322">
        <v>5</v>
      </c>
      <c r="D48" s="322" t="s">
        <v>223</v>
      </c>
      <c r="E48" s="322" t="s">
        <v>224</v>
      </c>
      <c r="F48" s="545">
        <v>2013</v>
      </c>
      <c r="G48" s="545" t="s">
        <v>360</v>
      </c>
      <c r="H48" s="322" t="s">
        <v>280</v>
      </c>
      <c r="J48" s="322" t="s">
        <v>229</v>
      </c>
      <c r="N48" s="322" t="s">
        <v>164</v>
      </c>
      <c r="O48" s="322" t="s">
        <v>164</v>
      </c>
      <c r="P48" s="545">
        <v>4442100</v>
      </c>
      <c r="Q48" s="545"/>
      <c r="R48" s="743">
        <f>'MoT Travel Input'!E45</f>
        <v>4441600</v>
      </c>
      <c r="U48" s="599">
        <v>42583</v>
      </c>
      <c r="V48" s="322" t="s">
        <v>362</v>
      </c>
    </row>
    <row r="49" spans="1:22" ht="12.75" customHeight="1" x14ac:dyDescent="0.25">
      <c r="A49" s="322">
        <v>5</v>
      </c>
      <c r="B49" s="322" t="s">
        <v>230</v>
      </c>
      <c r="C49" s="322">
        <v>5</v>
      </c>
      <c r="D49" s="322" t="s">
        <v>223</v>
      </c>
      <c r="E49" s="322" t="s">
        <v>224</v>
      </c>
      <c r="F49" s="545">
        <v>2013</v>
      </c>
      <c r="G49" s="545" t="s">
        <v>360</v>
      </c>
      <c r="H49" s="322" t="s">
        <v>280</v>
      </c>
      <c r="J49" s="322" t="s">
        <v>229</v>
      </c>
      <c r="N49" s="322" t="s">
        <v>196</v>
      </c>
      <c r="O49" s="322" t="s">
        <v>26</v>
      </c>
      <c r="P49" s="545">
        <v>151770</v>
      </c>
      <c r="Q49" s="545"/>
      <c r="R49" s="744">
        <f>'[4]NZ.Stat export'!Q6</f>
        <v>3.4171487742835918E-2</v>
      </c>
      <c r="T49" s="322">
        <f>'[4]NZ.Stat export'!$Q$6</f>
        <v>3.4171487742835918E-2</v>
      </c>
      <c r="U49" s="599">
        <v>42583</v>
      </c>
      <c r="V49" s="545" t="s">
        <v>362</v>
      </c>
    </row>
    <row r="50" spans="1:22" ht="12.75" customHeight="1" x14ac:dyDescent="0.25">
      <c r="A50" s="322">
        <v>5</v>
      </c>
      <c r="B50" s="322" t="s">
        <v>230</v>
      </c>
      <c r="C50" s="322">
        <v>5</v>
      </c>
      <c r="D50" s="322" t="s">
        <v>223</v>
      </c>
      <c r="E50" s="322" t="s">
        <v>224</v>
      </c>
      <c r="F50" s="545">
        <v>2013</v>
      </c>
      <c r="G50" s="545" t="s">
        <v>360</v>
      </c>
      <c r="H50" s="322" t="s">
        <v>280</v>
      </c>
      <c r="J50" s="322" t="s">
        <v>229</v>
      </c>
      <c r="N50" s="322" t="s">
        <v>191</v>
      </c>
      <c r="O50" s="322" t="s">
        <v>26</v>
      </c>
      <c r="P50" s="545">
        <v>291070</v>
      </c>
      <c r="Q50" s="545"/>
      <c r="R50" s="744">
        <f>'[4]NZ.Stat export'!Q7</f>
        <v>6.5529117799338177E-2</v>
      </c>
      <c r="S50" s="545"/>
      <c r="U50" s="599">
        <v>42583</v>
      </c>
      <c r="V50" s="545" t="s">
        <v>362</v>
      </c>
    </row>
    <row r="51" spans="1:22" ht="12.75" customHeight="1" x14ac:dyDescent="0.25">
      <c r="A51" s="322">
        <v>5</v>
      </c>
      <c r="B51" s="322" t="s">
        <v>230</v>
      </c>
      <c r="C51" s="322">
        <v>5</v>
      </c>
      <c r="D51" s="322" t="s">
        <v>223</v>
      </c>
      <c r="E51" s="322" t="s">
        <v>224</v>
      </c>
      <c r="F51" s="545">
        <v>2013</v>
      </c>
      <c r="G51" s="545" t="s">
        <v>360</v>
      </c>
      <c r="H51" s="322" t="s">
        <v>280</v>
      </c>
      <c r="J51" s="322" t="s">
        <v>229</v>
      </c>
      <c r="N51" s="322" t="s">
        <v>4</v>
      </c>
      <c r="O51" s="322" t="s">
        <v>26</v>
      </c>
      <c r="P51" s="545">
        <v>450230</v>
      </c>
      <c r="Q51" s="545"/>
      <c r="R51" s="744">
        <f>'[4]NZ.Stat export'!Q8</f>
        <v>0.10134389843099295</v>
      </c>
      <c r="S51" s="545"/>
      <c r="U51" s="599">
        <v>42583</v>
      </c>
      <c r="V51" s="545" t="s">
        <v>362</v>
      </c>
    </row>
    <row r="52" spans="1:22" ht="12.75" customHeight="1" x14ac:dyDescent="0.25">
      <c r="A52" s="322">
        <v>5</v>
      </c>
      <c r="B52" s="322" t="s">
        <v>230</v>
      </c>
      <c r="C52" s="322">
        <v>5</v>
      </c>
      <c r="D52" s="322" t="s">
        <v>223</v>
      </c>
      <c r="E52" s="322" t="s">
        <v>224</v>
      </c>
      <c r="F52" s="545">
        <v>2013</v>
      </c>
      <c r="G52" s="545" t="s">
        <v>360</v>
      </c>
      <c r="H52" s="322" t="s">
        <v>280</v>
      </c>
      <c r="J52" s="322" t="s">
        <v>229</v>
      </c>
      <c r="N52" s="322" t="s">
        <v>5</v>
      </c>
      <c r="O52" s="322" t="s">
        <v>26</v>
      </c>
      <c r="P52" s="545">
        <v>452850</v>
      </c>
      <c r="Q52" s="545"/>
      <c r="R52" s="744">
        <f>'[4]NZ.Stat export'!Q9</f>
        <v>0.10195169169124102</v>
      </c>
      <c r="S52" s="545"/>
      <c r="U52" s="599">
        <v>42583</v>
      </c>
      <c r="V52" s="545" t="s">
        <v>362</v>
      </c>
    </row>
    <row r="53" spans="1:22" ht="12.75" customHeight="1" x14ac:dyDescent="0.25">
      <c r="A53" s="322">
        <v>5</v>
      </c>
      <c r="B53" s="322" t="s">
        <v>230</v>
      </c>
      <c r="C53" s="322">
        <v>5</v>
      </c>
      <c r="D53" s="322" t="s">
        <v>223</v>
      </c>
      <c r="E53" s="322" t="s">
        <v>224</v>
      </c>
      <c r="F53" s="545">
        <v>2013</v>
      </c>
      <c r="G53" s="545" t="s">
        <v>360</v>
      </c>
      <c r="H53" s="322" t="s">
        <v>280</v>
      </c>
      <c r="J53" s="322" t="s">
        <v>229</v>
      </c>
      <c r="N53" s="322" t="s">
        <v>6</v>
      </c>
      <c r="O53" s="322" t="s">
        <v>26</v>
      </c>
      <c r="P53" s="545">
        <v>463470</v>
      </c>
      <c r="Q53" s="545"/>
      <c r="R53" s="744">
        <f>'[4]NZ.Stat export'!Q10</f>
        <v>0.10433784300925196</v>
      </c>
      <c r="S53" s="545"/>
      <c r="U53" s="599">
        <v>42583</v>
      </c>
      <c r="V53" s="545" t="s">
        <v>362</v>
      </c>
    </row>
    <row r="54" spans="1:22" ht="12.75" customHeight="1" x14ac:dyDescent="0.25">
      <c r="A54" s="322">
        <v>5</v>
      </c>
      <c r="B54" s="322" t="s">
        <v>230</v>
      </c>
      <c r="C54" s="322">
        <v>5</v>
      </c>
      <c r="D54" s="322" t="s">
        <v>223</v>
      </c>
      <c r="E54" s="322" t="s">
        <v>224</v>
      </c>
      <c r="F54" s="545">
        <v>2013</v>
      </c>
      <c r="G54" s="545" t="s">
        <v>360</v>
      </c>
      <c r="H54" s="322" t="s">
        <v>280</v>
      </c>
      <c r="J54" s="322" t="s">
        <v>229</v>
      </c>
      <c r="N54" s="322" t="s">
        <v>7</v>
      </c>
      <c r="O54" s="322" t="s">
        <v>26</v>
      </c>
      <c r="P54" s="545">
        <v>228300</v>
      </c>
      <c r="Q54" s="545"/>
      <c r="R54" s="744">
        <f>'[4]NZ.Stat export'!Q11</f>
        <v>5.1392296783197892E-2</v>
      </c>
      <c r="S54" s="545"/>
      <c r="U54" s="599">
        <v>42583</v>
      </c>
      <c r="V54" s="545" t="s">
        <v>362</v>
      </c>
    </row>
    <row r="55" spans="1:22" ht="12.75" customHeight="1" x14ac:dyDescent="0.25">
      <c r="A55" s="322">
        <v>5</v>
      </c>
      <c r="B55" s="322" t="s">
        <v>230</v>
      </c>
      <c r="C55" s="322">
        <v>5</v>
      </c>
      <c r="D55" s="322" t="s">
        <v>223</v>
      </c>
      <c r="E55" s="322" t="s">
        <v>224</v>
      </c>
      <c r="F55" s="545">
        <v>2013</v>
      </c>
      <c r="G55" s="545" t="s">
        <v>360</v>
      </c>
      <c r="H55" s="322" t="s">
        <v>280</v>
      </c>
      <c r="J55" s="322" t="s">
        <v>229</v>
      </c>
      <c r="N55" s="322" t="s">
        <v>8</v>
      </c>
      <c r="O55" s="322" t="s">
        <v>26</v>
      </c>
      <c r="P55" s="545">
        <v>138330</v>
      </c>
      <c r="Q55" s="545"/>
      <c r="R55" s="744">
        <f>'[4]NZ.Stat export'!Q12</f>
        <v>3.1132521441595569E-2</v>
      </c>
      <c r="S55" s="545"/>
      <c r="U55" s="599">
        <v>42583</v>
      </c>
      <c r="V55" s="545" t="s">
        <v>362</v>
      </c>
    </row>
    <row r="56" spans="1:22" ht="12.75" customHeight="1" x14ac:dyDescent="0.25">
      <c r="A56" s="322">
        <v>5</v>
      </c>
      <c r="B56" s="322" t="s">
        <v>230</v>
      </c>
      <c r="C56" s="322">
        <v>5</v>
      </c>
      <c r="D56" s="322" t="s">
        <v>223</v>
      </c>
      <c r="E56" s="322" t="s">
        <v>224</v>
      </c>
      <c r="F56" s="545">
        <v>2013</v>
      </c>
      <c r="G56" s="545" t="s">
        <v>360</v>
      </c>
      <c r="H56" s="322" t="s">
        <v>280</v>
      </c>
      <c r="J56" s="322" t="s">
        <v>229</v>
      </c>
      <c r="N56" s="322" t="s">
        <v>9</v>
      </c>
      <c r="O56" s="322" t="s">
        <v>26</v>
      </c>
      <c r="P56" s="545">
        <v>93910</v>
      </c>
      <c r="Q56" s="545"/>
      <c r="R56" s="744">
        <f>'[4]NZ.Stat export'!Q13</f>
        <v>2.1137698939738422E-2</v>
      </c>
      <c r="S56" s="545"/>
      <c r="U56" s="599">
        <v>42583</v>
      </c>
      <c r="V56" s="545" t="s">
        <v>362</v>
      </c>
    </row>
    <row r="57" spans="1:22" ht="12.75" customHeight="1" x14ac:dyDescent="0.25">
      <c r="A57" s="322">
        <v>5</v>
      </c>
      <c r="B57" s="322" t="s">
        <v>230</v>
      </c>
      <c r="C57" s="322">
        <v>5</v>
      </c>
      <c r="D57" s="322" t="s">
        <v>223</v>
      </c>
      <c r="E57" s="322" t="s">
        <v>224</v>
      </c>
      <c r="F57" s="545">
        <v>2013</v>
      </c>
      <c r="G57" s="545" t="s">
        <v>360</v>
      </c>
      <c r="H57" s="322" t="s">
        <v>280</v>
      </c>
      <c r="J57" s="322" t="s">
        <v>229</v>
      </c>
      <c r="N57" s="322" t="s">
        <v>196</v>
      </c>
      <c r="O57" s="322" t="s">
        <v>25</v>
      </c>
      <c r="P57" s="545">
        <v>160150</v>
      </c>
      <c r="Q57" s="545"/>
      <c r="R57" s="744">
        <f>'[4]NZ.Stat export'!Q14</f>
        <v>3.6062400108052138E-2</v>
      </c>
      <c r="S57" s="545"/>
      <c r="U57" s="599">
        <v>42583</v>
      </c>
      <c r="V57" s="545" t="s">
        <v>362</v>
      </c>
    </row>
    <row r="58" spans="1:22" ht="12.75" customHeight="1" x14ac:dyDescent="0.25">
      <c r="A58" s="322">
        <v>5</v>
      </c>
      <c r="B58" s="322" t="s">
        <v>230</v>
      </c>
      <c r="C58" s="322">
        <v>5</v>
      </c>
      <c r="D58" s="322" t="s">
        <v>223</v>
      </c>
      <c r="E58" s="322" t="s">
        <v>224</v>
      </c>
      <c r="F58" s="545">
        <v>2013</v>
      </c>
      <c r="G58" s="545" t="s">
        <v>360</v>
      </c>
      <c r="H58" s="322" t="s">
        <v>280</v>
      </c>
      <c r="J58" s="322" t="s">
        <v>229</v>
      </c>
      <c r="N58" s="322" t="s">
        <v>191</v>
      </c>
      <c r="O58" s="322" t="s">
        <v>25</v>
      </c>
      <c r="P58" s="545">
        <v>305750</v>
      </c>
      <c r="Q58" s="545"/>
      <c r="R58" s="744">
        <f>'[4]NZ.Stat export'!Q15</f>
        <v>6.8838214438466563E-2</v>
      </c>
      <c r="S58" s="545"/>
      <c r="U58" s="599">
        <v>42583</v>
      </c>
      <c r="V58" s="545" t="s">
        <v>362</v>
      </c>
    </row>
    <row r="59" spans="1:22" ht="12.75" customHeight="1" x14ac:dyDescent="0.25">
      <c r="A59" s="322">
        <v>5</v>
      </c>
      <c r="B59" s="322" t="s">
        <v>230</v>
      </c>
      <c r="C59" s="322">
        <v>5</v>
      </c>
      <c r="D59" s="322" t="s">
        <v>223</v>
      </c>
      <c r="E59" s="322" t="s">
        <v>224</v>
      </c>
      <c r="F59" s="545">
        <v>2013</v>
      </c>
      <c r="G59" s="545" t="s">
        <v>360</v>
      </c>
      <c r="H59" s="322" t="s">
        <v>280</v>
      </c>
      <c r="J59" s="322" t="s">
        <v>229</v>
      </c>
      <c r="N59" s="322" t="s">
        <v>4</v>
      </c>
      <c r="O59" s="322" t="s">
        <v>25</v>
      </c>
      <c r="P59" s="545">
        <v>454660</v>
      </c>
      <c r="Q59" s="545"/>
      <c r="R59" s="744">
        <f>'[4]NZ.Stat export'!Q16</f>
        <v>0.10235688719807307</v>
      </c>
      <c r="S59" s="545"/>
      <c r="U59" s="599">
        <v>42583</v>
      </c>
      <c r="V59" s="545" t="s">
        <v>362</v>
      </c>
    </row>
    <row r="60" spans="1:22" ht="12.75" customHeight="1" x14ac:dyDescent="0.25">
      <c r="A60" s="322">
        <v>5</v>
      </c>
      <c r="B60" s="322" t="s">
        <v>230</v>
      </c>
      <c r="C60" s="322">
        <v>5</v>
      </c>
      <c r="D60" s="322" t="s">
        <v>223</v>
      </c>
      <c r="E60" s="322" t="s">
        <v>224</v>
      </c>
      <c r="F60" s="545">
        <v>2013</v>
      </c>
      <c r="G60" s="545" t="s">
        <v>360</v>
      </c>
      <c r="H60" s="322" t="s">
        <v>280</v>
      </c>
      <c r="J60" s="322" t="s">
        <v>229</v>
      </c>
      <c r="N60" s="322" t="s">
        <v>5</v>
      </c>
      <c r="O60" s="322" t="s">
        <v>25</v>
      </c>
      <c r="P60" s="545">
        <v>411180</v>
      </c>
      <c r="Q60" s="545"/>
      <c r="R60" s="744">
        <f>'[4]NZ.Stat export'!Q17</f>
        <v>9.2564662449631949E-2</v>
      </c>
      <c r="S60" s="545"/>
      <c r="U60" s="599">
        <v>42583</v>
      </c>
      <c r="V60" s="545" t="s">
        <v>362</v>
      </c>
    </row>
    <row r="61" spans="1:22" ht="12.75" customHeight="1" x14ac:dyDescent="0.25">
      <c r="A61" s="322">
        <v>5</v>
      </c>
      <c r="B61" s="322" t="s">
        <v>230</v>
      </c>
      <c r="C61" s="322">
        <v>5</v>
      </c>
      <c r="D61" s="322" t="s">
        <v>223</v>
      </c>
      <c r="E61" s="322" t="s">
        <v>224</v>
      </c>
      <c r="F61" s="545">
        <v>2013</v>
      </c>
      <c r="G61" s="545" t="s">
        <v>360</v>
      </c>
      <c r="H61" s="322" t="s">
        <v>280</v>
      </c>
      <c r="J61" s="322" t="s">
        <v>229</v>
      </c>
      <c r="N61" s="322" t="s">
        <v>6</v>
      </c>
      <c r="O61" s="322" t="s">
        <v>25</v>
      </c>
      <c r="P61" s="545">
        <v>433950</v>
      </c>
      <c r="Q61" s="545"/>
      <c r="R61" s="744">
        <f>'[4]NZ.Stat export'!Q18</f>
        <v>9.7697138869504541E-2</v>
      </c>
      <c r="S61" s="545"/>
      <c r="U61" s="599">
        <v>42583</v>
      </c>
      <c r="V61" s="545" t="s">
        <v>362</v>
      </c>
    </row>
    <row r="62" spans="1:22" ht="12.75" customHeight="1" x14ac:dyDescent="0.25">
      <c r="A62" s="322">
        <v>5</v>
      </c>
      <c r="B62" s="322" t="s">
        <v>230</v>
      </c>
      <c r="C62" s="322">
        <v>5</v>
      </c>
      <c r="D62" s="322" t="s">
        <v>223</v>
      </c>
      <c r="E62" s="322" t="s">
        <v>224</v>
      </c>
      <c r="F62" s="545">
        <v>2013</v>
      </c>
      <c r="G62" s="545" t="s">
        <v>360</v>
      </c>
      <c r="H62" s="322" t="s">
        <v>280</v>
      </c>
      <c r="J62" s="322" t="s">
        <v>229</v>
      </c>
      <c r="N62" s="322" t="s">
        <v>7</v>
      </c>
      <c r="O62" s="322" t="s">
        <v>25</v>
      </c>
      <c r="P62" s="545">
        <v>218470</v>
      </c>
      <c r="Q62" s="545"/>
      <c r="R62" s="744">
        <f>'[4]NZ.Stat export'!Q19</f>
        <v>4.9186232357112308E-2</v>
      </c>
      <c r="S62" s="545"/>
      <c r="U62" s="599">
        <v>42583</v>
      </c>
      <c r="V62" s="545" t="s">
        <v>362</v>
      </c>
    </row>
    <row r="63" spans="1:22" ht="12.75" customHeight="1" x14ac:dyDescent="0.25">
      <c r="A63" s="322">
        <v>5</v>
      </c>
      <c r="B63" s="322" t="s">
        <v>230</v>
      </c>
      <c r="C63" s="322">
        <v>5</v>
      </c>
      <c r="D63" s="322" t="s">
        <v>223</v>
      </c>
      <c r="E63" s="322" t="s">
        <v>224</v>
      </c>
      <c r="F63" s="545">
        <v>2013</v>
      </c>
      <c r="G63" s="545" t="s">
        <v>360</v>
      </c>
      <c r="H63" s="322" t="s">
        <v>280</v>
      </c>
      <c r="J63" s="322" t="s">
        <v>229</v>
      </c>
      <c r="N63" s="322" t="s">
        <v>8</v>
      </c>
      <c r="O63" s="322" t="s">
        <v>25</v>
      </c>
      <c r="P63" s="545">
        <v>125050</v>
      </c>
      <c r="Q63" s="545"/>
      <c r="R63" s="744">
        <f>'[4]NZ.Stat export'!Q20</f>
        <v>2.813857686333656E-2</v>
      </c>
      <c r="S63" s="545"/>
      <c r="U63" s="599">
        <v>42583</v>
      </c>
      <c r="V63" s="545" t="s">
        <v>362</v>
      </c>
    </row>
    <row r="64" spans="1:22" ht="12.75" customHeight="1" x14ac:dyDescent="0.25">
      <c r="A64" s="322">
        <v>5</v>
      </c>
      <c r="B64" s="322" t="s">
        <v>230</v>
      </c>
      <c r="C64" s="322">
        <v>5</v>
      </c>
      <c r="D64" s="322" t="s">
        <v>223</v>
      </c>
      <c r="E64" s="322" t="s">
        <v>224</v>
      </c>
      <c r="F64" s="545">
        <v>2013</v>
      </c>
      <c r="G64" s="545" t="s">
        <v>360</v>
      </c>
      <c r="H64" s="322" t="s">
        <v>280</v>
      </c>
      <c r="J64" s="322" t="s">
        <v>229</v>
      </c>
      <c r="N64" s="322" t="s">
        <v>9</v>
      </c>
      <c r="O64" s="322" t="s">
        <v>25</v>
      </c>
      <c r="P64" s="545">
        <v>62940</v>
      </c>
      <c r="Q64" s="545"/>
      <c r="R64" s="744">
        <f>'[4]NZ.Stat export'!Q21</f>
        <v>1.4159331877630956E-2</v>
      </c>
      <c r="S64" s="545"/>
      <c r="U64" s="599">
        <v>42583</v>
      </c>
      <c r="V64" s="545" t="s">
        <v>362</v>
      </c>
    </row>
    <row r="65" spans="1:21" ht="12.75" customHeight="1" x14ac:dyDescent="0.25">
      <c r="A65" s="322">
        <v>6</v>
      </c>
      <c r="B65" s="322" t="s">
        <v>230</v>
      </c>
      <c r="C65" s="322">
        <v>9</v>
      </c>
      <c r="D65" s="322" t="s">
        <v>225</v>
      </c>
      <c r="E65" s="322" t="s">
        <v>226</v>
      </c>
      <c r="F65" s="322" t="s">
        <v>220</v>
      </c>
      <c r="G65" s="322" t="s">
        <v>279</v>
      </c>
      <c r="H65" s="322" t="s">
        <v>280</v>
      </c>
      <c r="K65" s="322" t="s">
        <v>227</v>
      </c>
      <c r="L65" s="322" t="s">
        <v>228</v>
      </c>
      <c r="M65" s="322" t="s">
        <v>230</v>
      </c>
      <c r="N65" s="322" t="s">
        <v>196</v>
      </c>
      <c r="O65" s="322" t="s">
        <v>26</v>
      </c>
      <c r="U65" s="442">
        <v>41736.707534722198</v>
      </c>
    </row>
    <row r="66" spans="1:21" ht="12.75" customHeight="1" x14ac:dyDescent="0.25">
      <c r="A66" s="322">
        <v>6</v>
      </c>
      <c r="B66" s="322" t="s">
        <v>230</v>
      </c>
      <c r="C66" s="322">
        <v>9</v>
      </c>
      <c r="D66" s="322" t="s">
        <v>225</v>
      </c>
      <c r="E66" s="322" t="s">
        <v>226</v>
      </c>
      <c r="F66" s="322" t="s">
        <v>220</v>
      </c>
      <c r="G66" s="322" t="s">
        <v>279</v>
      </c>
      <c r="H66" s="322" t="s">
        <v>280</v>
      </c>
      <c r="K66" s="322" t="s">
        <v>227</v>
      </c>
      <c r="L66" s="322" t="s">
        <v>228</v>
      </c>
      <c r="M66" s="322" t="s">
        <v>230</v>
      </c>
      <c r="N66" s="322" t="s">
        <v>191</v>
      </c>
      <c r="O66" s="322" t="s">
        <v>26</v>
      </c>
      <c r="U66" s="442">
        <v>41736.707534722198</v>
      </c>
    </row>
    <row r="67" spans="1:21" ht="12.75" customHeight="1" x14ac:dyDescent="0.25">
      <c r="A67" s="322">
        <v>6</v>
      </c>
      <c r="B67" s="322" t="s">
        <v>230</v>
      </c>
      <c r="C67" s="322">
        <v>9</v>
      </c>
      <c r="D67" s="322" t="s">
        <v>225</v>
      </c>
      <c r="E67" s="322" t="s">
        <v>226</v>
      </c>
      <c r="F67" s="322" t="s">
        <v>220</v>
      </c>
      <c r="G67" s="322" t="s">
        <v>279</v>
      </c>
      <c r="H67" s="322" t="s">
        <v>280</v>
      </c>
      <c r="K67" s="322" t="s">
        <v>227</v>
      </c>
      <c r="L67" s="322" t="s">
        <v>228</v>
      </c>
      <c r="M67" s="322" t="s">
        <v>230</v>
      </c>
      <c r="N67" s="322" t="s">
        <v>4</v>
      </c>
      <c r="O67" s="322" t="s">
        <v>26</v>
      </c>
      <c r="P67" s="322">
        <v>58</v>
      </c>
      <c r="R67" s="322">
        <v>8.8666666666666707</v>
      </c>
      <c r="U67" s="442">
        <v>41736.707534722198</v>
      </c>
    </row>
    <row r="68" spans="1:21" ht="12.75" customHeight="1" x14ac:dyDescent="0.25">
      <c r="A68" s="322">
        <v>6</v>
      </c>
      <c r="B68" s="322" t="s">
        <v>230</v>
      </c>
      <c r="C68" s="322">
        <v>9</v>
      </c>
      <c r="D68" s="322" t="s">
        <v>225</v>
      </c>
      <c r="E68" s="322" t="s">
        <v>226</v>
      </c>
      <c r="F68" s="322" t="s">
        <v>220</v>
      </c>
      <c r="G68" s="322" t="s">
        <v>279</v>
      </c>
      <c r="H68" s="322" t="s">
        <v>280</v>
      </c>
      <c r="K68" s="322" t="s">
        <v>227</v>
      </c>
      <c r="L68" s="322" t="s">
        <v>228</v>
      </c>
      <c r="M68" s="322" t="s">
        <v>230</v>
      </c>
      <c r="N68" s="322" t="s">
        <v>5</v>
      </c>
      <c r="O68" s="322" t="s">
        <v>26</v>
      </c>
      <c r="P68" s="322">
        <v>173</v>
      </c>
      <c r="R68" s="322">
        <v>41</v>
      </c>
      <c r="U68" s="442">
        <v>41736.707534722198</v>
      </c>
    </row>
    <row r="69" spans="1:21" ht="12.75" customHeight="1" x14ac:dyDescent="0.25">
      <c r="A69" s="322">
        <v>6</v>
      </c>
      <c r="B69" s="322" t="s">
        <v>230</v>
      </c>
      <c r="C69" s="322">
        <v>9</v>
      </c>
      <c r="D69" s="322" t="s">
        <v>225</v>
      </c>
      <c r="E69" s="322" t="s">
        <v>226</v>
      </c>
      <c r="F69" s="322" t="s">
        <v>220</v>
      </c>
      <c r="G69" s="322" t="s">
        <v>279</v>
      </c>
      <c r="H69" s="322" t="s">
        <v>280</v>
      </c>
      <c r="K69" s="322" t="s">
        <v>227</v>
      </c>
      <c r="L69" s="322" t="s">
        <v>228</v>
      </c>
      <c r="M69" s="322" t="s">
        <v>230</v>
      </c>
      <c r="N69" s="322" t="s">
        <v>6</v>
      </c>
      <c r="O69" s="322" t="s">
        <v>26</v>
      </c>
      <c r="P69" s="322">
        <v>322</v>
      </c>
      <c r="R69" s="322">
        <v>41.65</v>
      </c>
      <c r="U69" s="442">
        <v>41736.707534722198</v>
      </c>
    </row>
    <row r="70" spans="1:21" ht="12.75" customHeight="1" x14ac:dyDescent="0.25">
      <c r="A70" s="322">
        <v>6</v>
      </c>
      <c r="B70" s="322" t="s">
        <v>230</v>
      </c>
      <c r="C70" s="322">
        <v>9</v>
      </c>
      <c r="D70" s="322" t="s">
        <v>225</v>
      </c>
      <c r="E70" s="322" t="s">
        <v>226</v>
      </c>
      <c r="F70" s="322" t="s">
        <v>220</v>
      </c>
      <c r="G70" s="322" t="s">
        <v>279</v>
      </c>
      <c r="H70" s="322" t="s">
        <v>280</v>
      </c>
      <c r="K70" s="322" t="s">
        <v>227</v>
      </c>
      <c r="L70" s="322" t="s">
        <v>228</v>
      </c>
      <c r="M70" s="322" t="s">
        <v>230</v>
      </c>
      <c r="N70" s="322" t="s">
        <v>7</v>
      </c>
      <c r="O70" s="322" t="s">
        <v>26</v>
      </c>
      <c r="P70" s="322">
        <v>230</v>
      </c>
      <c r="R70" s="322">
        <v>32.799999999999997</v>
      </c>
      <c r="U70" s="442">
        <v>41736.707534722198</v>
      </c>
    </row>
    <row r="71" spans="1:21" ht="12.75" customHeight="1" x14ac:dyDescent="0.25">
      <c r="A71" s="322">
        <v>6</v>
      </c>
      <c r="B71" s="322" t="s">
        <v>230</v>
      </c>
      <c r="C71" s="322">
        <v>9</v>
      </c>
      <c r="D71" s="322" t="s">
        <v>225</v>
      </c>
      <c r="E71" s="322" t="s">
        <v>226</v>
      </c>
      <c r="F71" s="322" t="s">
        <v>220</v>
      </c>
      <c r="G71" s="322" t="s">
        <v>279</v>
      </c>
      <c r="H71" s="322" t="s">
        <v>280</v>
      </c>
      <c r="K71" s="322" t="s">
        <v>227</v>
      </c>
      <c r="L71" s="322" t="s">
        <v>228</v>
      </c>
      <c r="M71" s="322" t="s">
        <v>230</v>
      </c>
      <c r="N71" s="322" t="s">
        <v>8</v>
      </c>
      <c r="O71" s="322" t="s">
        <v>26</v>
      </c>
      <c r="P71" s="322">
        <v>160</v>
      </c>
      <c r="R71" s="322">
        <v>5.8333333333333304</v>
      </c>
      <c r="U71" s="442">
        <v>41736.707534722198</v>
      </c>
    </row>
    <row r="72" spans="1:21" ht="12.75" customHeight="1" x14ac:dyDescent="0.25">
      <c r="A72" s="322">
        <v>6</v>
      </c>
      <c r="B72" s="322" t="s">
        <v>230</v>
      </c>
      <c r="C72" s="322">
        <v>9</v>
      </c>
      <c r="D72" s="322" t="s">
        <v>225</v>
      </c>
      <c r="E72" s="322" t="s">
        <v>226</v>
      </c>
      <c r="F72" s="322" t="s">
        <v>220</v>
      </c>
      <c r="G72" s="322" t="s">
        <v>279</v>
      </c>
      <c r="H72" s="322" t="s">
        <v>280</v>
      </c>
      <c r="K72" s="322" t="s">
        <v>227</v>
      </c>
      <c r="L72" s="322" t="s">
        <v>228</v>
      </c>
      <c r="M72" s="322" t="s">
        <v>230</v>
      </c>
      <c r="N72" s="322" t="s">
        <v>9</v>
      </c>
      <c r="O72" s="322" t="s">
        <v>26</v>
      </c>
      <c r="P72" s="322">
        <v>116</v>
      </c>
      <c r="R72" s="322">
        <v>6.5</v>
      </c>
      <c r="U72" s="442">
        <v>41736.707534722198</v>
      </c>
    </row>
    <row r="73" spans="1:21" ht="12.75" customHeight="1" x14ac:dyDescent="0.25">
      <c r="A73" s="322">
        <v>6</v>
      </c>
      <c r="B73" s="322" t="s">
        <v>230</v>
      </c>
      <c r="C73" s="322">
        <v>9</v>
      </c>
      <c r="D73" s="322" t="s">
        <v>225</v>
      </c>
      <c r="E73" s="322" t="s">
        <v>226</v>
      </c>
      <c r="F73" s="322" t="s">
        <v>220</v>
      </c>
      <c r="G73" s="322" t="s">
        <v>279</v>
      </c>
      <c r="H73" s="322" t="s">
        <v>280</v>
      </c>
      <c r="K73" s="322" t="s">
        <v>227</v>
      </c>
      <c r="L73" s="322" t="s">
        <v>228</v>
      </c>
      <c r="M73" s="322" t="s">
        <v>230</v>
      </c>
      <c r="N73" s="322" t="s">
        <v>196</v>
      </c>
      <c r="O73" s="322" t="s">
        <v>25</v>
      </c>
      <c r="U73" s="442">
        <v>41736.707534722198</v>
      </c>
    </row>
    <row r="74" spans="1:21" ht="12.75" customHeight="1" x14ac:dyDescent="0.25">
      <c r="A74" s="322">
        <v>6</v>
      </c>
      <c r="B74" s="322" t="s">
        <v>230</v>
      </c>
      <c r="C74" s="322">
        <v>9</v>
      </c>
      <c r="D74" s="322" t="s">
        <v>225</v>
      </c>
      <c r="E74" s="322" t="s">
        <v>226</v>
      </c>
      <c r="F74" s="322" t="s">
        <v>220</v>
      </c>
      <c r="G74" s="322" t="s">
        <v>279</v>
      </c>
      <c r="H74" s="322" t="s">
        <v>280</v>
      </c>
      <c r="K74" s="322" t="s">
        <v>227</v>
      </c>
      <c r="L74" s="322" t="s">
        <v>228</v>
      </c>
      <c r="M74" s="322" t="s">
        <v>230</v>
      </c>
      <c r="N74" s="322" t="s">
        <v>191</v>
      </c>
      <c r="O74" s="322" t="s">
        <v>25</v>
      </c>
      <c r="U74" s="442">
        <v>41736.707534722198</v>
      </c>
    </row>
    <row r="75" spans="1:21" ht="12.75" customHeight="1" x14ac:dyDescent="0.25">
      <c r="A75" s="322">
        <v>6</v>
      </c>
      <c r="B75" s="322" t="s">
        <v>230</v>
      </c>
      <c r="C75" s="322">
        <v>9</v>
      </c>
      <c r="D75" s="322" t="s">
        <v>225</v>
      </c>
      <c r="E75" s="322" t="s">
        <v>226</v>
      </c>
      <c r="F75" s="322" t="s">
        <v>220</v>
      </c>
      <c r="G75" s="322" t="s">
        <v>279</v>
      </c>
      <c r="H75" s="322" t="s">
        <v>280</v>
      </c>
      <c r="K75" s="322" t="s">
        <v>227</v>
      </c>
      <c r="L75" s="322" t="s">
        <v>228</v>
      </c>
      <c r="M75" s="322" t="s">
        <v>230</v>
      </c>
      <c r="N75" s="322" t="s">
        <v>4</v>
      </c>
      <c r="O75" s="322" t="s">
        <v>25</v>
      </c>
      <c r="P75" s="322">
        <v>59</v>
      </c>
      <c r="R75" s="322">
        <v>57.8</v>
      </c>
      <c r="U75" s="442">
        <v>41736.707534722198</v>
      </c>
    </row>
    <row r="76" spans="1:21" ht="12.75" customHeight="1" x14ac:dyDescent="0.25">
      <c r="A76" s="322">
        <v>6</v>
      </c>
      <c r="B76" s="322" t="s">
        <v>230</v>
      </c>
      <c r="C76" s="322">
        <v>9</v>
      </c>
      <c r="D76" s="322" t="s">
        <v>225</v>
      </c>
      <c r="E76" s="322" t="s">
        <v>226</v>
      </c>
      <c r="F76" s="322" t="s">
        <v>220</v>
      </c>
      <c r="G76" s="322" t="s">
        <v>279</v>
      </c>
      <c r="H76" s="322" t="s">
        <v>280</v>
      </c>
      <c r="K76" s="322" t="s">
        <v>227</v>
      </c>
      <c r="L76" s="322" t="s">
        <v>228</v>
      </c>
      <c r="M76" s="322" t="s">
        <v>230</v>
      </c>
      <c r="N76" s="322" t="s">
        <v>5</v>
      </c>
      <c r="O76" s="322" t="s">
        <v>25</v>
      </c>
      <c r="P76" s="322">
        <v>130</v>
      </c>
      <c r="R76" s="322">
        <v>51.25</v>
      </c>
      <c r="U76" s="442">
        <v>41736.707534722198</v>
      </c>
    </row>
    <row r="77" spans="1:21" ht="12.75" customHeight="1" x14ac:dyDescent="0.25">
      <c r="A77" s="322">
        <v>6</v>
      </c>
      <c r="B77" s="322" t="s">
        <v>230</v>
      </c>
      <c r="C77" s="322">
        <v>9</v>
      </c>
      <c r="D77" s="322" t="s">
        <v>225</v>
      </c>
      <c r="E77" s="322" t="s">
        <v>226</v>
      </c>
      <c r="F77" s="322" t="s">
        <v>220</v>
      </c>
      <c r="G77" s="322" t="s">
        <v>279</v>
      </c>
      <c r="H77" s="322" t="s">
        <v>280</v>
      </c>
      <c r="K77" s="322" t="s">
        <v>227</v>
      </c>
      <c r="L77" s="322" t="s">
        <v>228</v>
      </c>
      <c r="M77" s="322" t="s">
        <v>230</v>
      </c>
      <c r="N77" s="322" t="s">
        <v>6</v>
      </c>
      <c r="O77" s="322" t="s">
        <v>25</v>
      </c>
      <c r="P77" s="322">
        <v>251</v>
      </c>
      <c r="R77" s="322">
        <v>58.274999999999999</v>
      </c>
      <c r="U77" s="442">
        <v>41736.707534722198</v>
      </c>
    </row>
    <row r="78" spans="1:21" ht="12.75" customHeight="1" x14ac:dyDescent="0.25">
      <c r="A78" s="322">
        <v>6</v>
      </c>
      <c r="B78" s="322" t="s">
        <v>230</v>
      </c>
      <c r="C78" s="322">
        <v>9</v>
      </c>
      <c r="D78" s="322" t="s">
        <v>225</v>
      </c>
      <c r="E78" s="322" t="s">
        <v>226</v>
      </c>
      <c r="F78" s="322" t="s">
        <v>220</v>
      </c>
      <c r="G78" s="322" t="s">
        <v>279</v>
      </c>
      <c r="H78" s="322" t="s">
        <v>280</v>
      </c>
      <c r="K78" s="322" t="s">
        <v>227</v>
      </c>
      <c r="L78" s="322" t="s">
        <v>228</v>
      </c>
      <c r="M78" s="322" t="s">
        <v>230</v>
      </c>
      <c r="N78" s="322" t="s">
        <v>7</v>
      </c>
      <c r="O78" s="322" t="s">
        <v>25</v>
      </c>
      <c r="P78" s="322">
        <v>155</v>
      </c>
      <c r="R78" s="322">
        <v>41</v>
      </c>
      <c r="U78" s="442">
        <v>41736.707534722198</v>
      </c>
    </row>
    <row r="79" spans="1:21" ht="12.75" customHeight="1" x14ac:dyDescent="0.25">
      <c r="A79" s="322">
        <v>6</v>
      </c>
      <c r="B79" s="322" t="s">
        <v>230</v>
      </c>
      <c r="C79" s="322">
        <v>9</v>
      </c>
      <c r="D79" s="322" t="s">
        <v>225</v>
      </c>
      <c r="E79" s="322" t="s">
        <v>226</v>
      </c>
      <c r="F79" s="322" t="s">
        <v>220</v>
      </c>
      <c r="G79" s="322" t="s">
        <v>279</v>
      </c>
      <c r="H79" s="322" t="s">
        <v>280</v>
      </c>
      <c r="K79" s="322" t="s">
        <v>227</v>
      </c>
      <c r="L79" s="322" t="s">
        <v>228</v>
      </c>
      <c r="M79" s="322" t="s">
        <v>230</v>
      </c>
      <c r="N79" s="322" t="s">
        <v>8</v>
      </c>
      <c r="O79" s="322" t="s">
        <v>25</v>
      </c>
      <c r="P79" s="322">
        <v>99</v>
      </c>
      <c r="R79" s="322">
        <v>4.375</v>
      </c>
      <c r="U79" s="442">
        <v>41736.707534722198</v>
      </c>
    </row>
    <row r="80" spans="1:21" ht="12.75" customHeight="1" x14ac:dyDescent="0.25">
      <c r="A80" s="322">
        <v>6</v>
      </c>
      <c r="B80" s="322" t="s">
        <v>230</v>
      </c>
      <c r="C80" s="322">
        <v>9</v>
      </c>
      <c r="D80" s="322" t="s">
        <v>225</v>
      </c>
      <c r="E80" s="322" t="s">
        <v>226</v>
      </c>
      <c r="F80" s="322" t="s">
        <v>220</v>
      </c>
      <c r="G80" s="322" t="s">
        <v>279</v>
      </c>
      <c r="H80" s="322" t="s">
        <v>280</v>
      </c>
      <c r="K80" s="322" t="s">
        <v>227</v>
      </c>
      <c r="L80" s="322" t="s">
        <v>228</v>
      </c>
      <c r="M80" s="322" t="s">
        <v>230</v>
      </c>
      <c r="N80" s="322" t="s">
        <v>9</v>
      </c>
      <c r="O80" s="322" t="s">
        <v>25</v>
      </c>
      <c r="P80" s="322">
        <v>62</v>
      </c>
      <c r="R80" s="322">
        <v>0</v>
      </c>
      <c r="U80" s="442">
        <v>41736.707534722198</v>
      </c>
    </row>
    <row r="81" spans="1:21" ht="12.75" customHeight="1" x14ac:dyDescent="0.25">
      <c r="A81" s="322">
        <v>6</v>
      </c>
      <c r="B81" s="322" t="s">
        <v>230</v>
      </c>
      <c r="C81" s="322">
        <v>9</v>
      </c>
      <c r="D81" s="322" t="s">
        <v>225</v>
      </c>
      <c r="E81" s="322" t="s">
        <v>226</v>
      </c>
      <c r="F81" s="322" t="s">
        <v>220</v>
      </c>
      <c r="G81" s="322" t="s">
        <v>279</v>
      </c>
      <c r="H81" s="322" t="s">
        <v>280</v>
      </c>
      <c r="K81" s="322" t="s">
        <v>227</v>
      </c>
      <c r="L81" s="322" t="s">
        <v>228</v>
      </c>
      <c r="M81" s="322" t="s">
        <v>231</v>
      </c>
      <c r="N81" s="322" t="s">
        <v>196</v>
      </c>
      <c r="O81" s="322" t="s">
        <v>26</v>
      </c>
      <c r="U81" s="442">
        <v>41736.707534722198</v>
      </c>
    </row>
    <row r="82" spans="1:21" ht="12.75" customHeight="1" x14ac:dyDescent="0.25">
      <c r="A82" s="322">
        <v>6</v>
      </c>
      <c r="B82" s="322" t="s">
        <v>230</v>
      </c>
      <c r="C82" s="322">
        <v>9</v>
      </c>
      <c r="D82" s="322" t="s">
        <v>225</v>
      </c>
      <c r="E82" s="322" t="s">
        <v>226</v>
      </c>
      <c r="F82" s="322" t="s">
        <v>220</v>
      </c>
      <c r="G82" s="322" t="s">
        <v>279</v>
      </c>
      <c r="H82" s="322" t="s">
        <v>280</v>
      </c>
      <c r="K82" s="322" t="s">
        <v>227</v>
      </c>
      <c r="L82" s="322" t="s">
        <v>228</v>
      </c>
      <c r="M82" s="322" t="s">
        <v>231</v>
      </c>
      <c r="N82" s="322" t="s">
        <v>191</v>
      </c>
      <c r="O82" s="322" t="s">
        <v>26</v>
      </c>
      <c r="U82" s="442">
        <v>41736.707534722198</v>
      </c>
    </row>
    <row r="83" spans="1:21" ht="12.75" customHeight="1" x14ac:dyDescent="0.25">
      <c r="A83" s="322">
        <v>6</v>
      </c>
      <c r="B83" s="322" t="s">
        <v>230</v>
      </c>
      <c r="C83" s="322">
        <v>9</v>
      </c>
      <c r="D83" s="322" t="s">
        <v>225</v>
      </c>
      <c r="E83" s="322" t="s">
        <v>226</v>
      </c>
      <c r="F83" s="322" t="s">
        <v>220</v>
      </c>
      <c r="G83" s="322" t="s">
        <v>279</v>
      </c>
      <c r="H83" s="322" t="s">
        <v>280</v>
      </c>
      <c r="K83" s="322" t="s">
        <v>227</v>
      </c>
      <c r="L83" s="322" t="s">
        <v>228</v>
      </c>
      <c r="M83" s="322" t="s">
        <v>231</v>
      </c>
      <c r="N83" s="322" t="s">
        <v>4</v>
      </c>
      <c r="O83" s="322" t="s">
        <v>26</v>
      </c>
      <c r="P83" s="322">
        <v>65</v>
      </c>
      <c r="R83" s="322">
        <v>24.6</v>
      </c>
      <c r="U83" s="442">
        <v>41736.707534722198</v>
      </c>
    </row>
    <row r="84" spans="1:21" ht="12.75" customHeight="1" x14ac:dyDescent="0.25">
      <c r="A84" s="322">
        <v>6</v>
      </c>
      <c r="B84" s="322" t="s">
        <v>230</v>
      </c>
      <c r="C84" s="322">
        <v>9</v>
      </c>
      <c r="D84" s="322" t="s">
        <v>225</v>
      </c>
      <c r="E84" s="322" t="s">
        <v>226</v>
      </c>
      <c r="F84" s="322" t="s">
        <v>220</v>
      </c>
      <c r="G84" s="322" t="s">
        <v>279</v>
      </c>
      <c r="H84" s="322" t="s">
        <v>280</v>
      </c>
      <c r="K84" s="322" t="s">
        <v>227</v>
      </c>
      <c r="L84" s="322" t="s">
        <v>228</v>
      </c>
      <c r="M84" s="322" t="s">
        <v>231</v>
      </c>
      <c r="N84" s="322" t="s">
        <v>5</v>
      </c>
      <c r="O84" s="322" t="s">
        <v>26</v>
      </c>
      <c r="P84" s="322">
        <v>191</v>
      </c>
      <c r="R84" s="322">
        <v>35.875</v>
      </c>
      <c r="U84" s="442">
        <v>41736.707534722198</v>
      </c>
    </row>
    <row r="85" spans="1:21" ht="12.75" customHeight="1" x14ac:dyDescent="0.25">
      <c r="A85" s="322">
        <v>6</v>
      </c>
      <c r="B85" s="322" t="s">
        <v>230</v>
      </c>
      <c r="C85" s="322">
        <v>9</v>
      </c>
      <c r="D85" s="322" t="s">
        <v>225</v>
      </c>
      <c r="E85" s="322" t="s">
        <v>226</v>
      </c>
      <c r="F85" s="322" t="s">
        <v>220</v>
      </c>
      <c r="G85" s="322" t="s">
        <v>279</v>
      </c>
      <c r="H85" s="322" t="s">
        <v>280</v>
      </c>
      <c r="K85" s="322" t="s">
        <v>227</v>
      </c>
      <c r="L85" s="322" t="s">
        <v>228</v>
      </c>
      <c r="M85" s="322" t="s">
        <v>231</v>
      </c>
      <c r="N85" s="322" t="s">
        <v>6</v>
      </c>
      <c r="O85" s="322" t="s">
        <v>26</v>
      </c>
      <c r="P85" s="322">
        <v>329</v>
      </c>
      <c r="R85" s="322">
        <v>43.05</v>
      </c>
      <c r="U85" s="442">
        <v>41736.707534722198</v>
      </c>
    </row>
    <row r="86" spans="1:21" ht="12.75" customHeight="1" x14ac:dyDescent="0.25">
      <c r="A86" s="322">
        <v>6</v>
      </c>
      <c r="B86" s="322" t="s">
        <v>230</v>
      </c>
      <c r="C86" s="322">
        <v>9</v>
      </c>
      <c r="D86" s="322" t="s">
        <v>225</v>
      </c>
      <c r="E86" s="322" t="s">
        <v>226</v>
      </c>
      <c r="F86" s="322" t="s">
        <v>220</v>
      </c>
      <c r="G86" s="322" t="s">
        <v>279</v>
      </c>
      <c r="H86" s="322" t="s">
        <v>280</v>
      </c>
      <c r="K86" s="322" t="s">
        <v>227</v>
      </c>
      <c r="L86" s="322" t="s">
        <v>228</v>
      </c>
      <c r="M86" s="322" t="s">
        <v>231</v>
      </c>
      <c r="N86" s="322" t="s">
        <v>7</v>
      </c>
      <c r="O86" s="322" t="s">
        <v>26</v>
      </c>
      <c r="P86" s="322">
        <v>230</v>
      </c>
      <c r="R86" s="322">
        <v>18</v>
      </c>
      <c r="U86" s="442">
        <v>41736.707534722198</v>
      </c>
    </row>
    <row r="87" spans="1:21" ht="12.75" customHeight="1" x14ac:dyDescent="0.25">
      <c r="A87" s="322">
        <v>6</v>
      </c>
      <c r="B87" s="322" t="s">
        <v>230</v>
      </c>
      <c r="C87" s="322">
        <v>9</v>
      </c>
      <c r="D87" s="322" t="s">
        <v>225</v>
      </c>
      <c r="E87" s="322" t="s">
        <v>226</v>
      </c>
      <c r="F87" s="322" t="s">
        <v>220</v>
      </c>
      <c r="G87" s="322" t="s">
        <v>279</v>
      </c>
      <c r="H87" s="322" t="s">
        <v>280</v>
      </c>
      <c r="K87" s="322" t="s">
        <v>227</v>
      </c>
      <c r="L87" s="322" t="s">
        <v>228</v>
      </c>
      <c r="M87" s="322" t="s">
        <v>231</v>
      </c>
      <c r="N87" s="322" t="s">
        <v>8</v>
      </c>
      <c r="O87" s="322" t="s">
        <v>26</v>
      </c>
      <c r="P87" s="322">
        <v>171</v>
      </c>
      <c r="R87" s="322">
        <v>5</v>
      </c>
      <c r="U87" s="442">
        <v>41736.707534722198</v>
      </c>
    </row>
    <row r="88" spans="1:21" ht="12.75" customHeight="1" x14ac:dyDescent="0.25">
      <c r="A88" s="322">
        <v>6</v>
      </c>
      <c r="B88" s="322" t="s">
        <v>230</v>
      </c>
      <c r="C88" s="322">
        <v>9</v>
      </c>
      <c r="D88" s="322" t="s">
        <v>225</v>
      </c>
      <c r="E88" s="322" t="s">
        <v>226</v>
      </c>
      <c r="F88" s="322" t="s">
        <v>220</v>
      </c>
      <c r="G88" s="322" t="s">
        <v>279</v>
      </c>
      <c r="H88" s="322" t="s">
        <v>280</v>
      </c>
      <c r="K88" s="322" t="s">
        <v>227</v>
      </c>
      <c r="L88" s="322" t="s">
        <v>228</v>
      </c>
      <c r="M88" s="322" t="s">
        <v>231</v>
      </c>
      <c r="N88" s="322" t="s">
        <v>9</v>
      </c>
      <c r="O88" s="322" t="s">
        <v>26</v>
      </c>
      <c r="P88" s="322">
        <v>116</v>
      </c>
      <c r="R88" s="322">
        <v>3.125</v>
      </c>
      <c r="U88" s="442">
        <v>41736.707534722198</v>
      </c>
    </row>
    <row r="89" spans="1:21" ht="12.75" customHeight="1" x14ac:dyDescent="0.25">
      <c r="A89" s="322">
        <v>6</v>
      </c>
      <c r="B89" s="322" t="s">
        <v>230</v>
      </c>
      <c r="C89" s="322">
        <v>9</v>
      </c>
      <c r="D89" s="322" t="s">
        <v>225</v>
      </c>
      <c r="E89" s="322" t="s">
        <v>226</v>
      </c>
      <c r="F89" s="322" t="s">
        <v>220</v>
      </c>
      <c r="G89" s="322" t="s">
        <v>279</v>
      </c>
      <c r="H89" s="322" t="s">
        <v>280</v>
      </c>
      <c r="K89" s="322" t="s">
        <v>227</v>
      </c>
      <c r="L89" s="322" t="s">
        <v>228</v>
      </c>
      <c r="M89" s="322" t="s">
        <v>231</v>
      </c>
      <c r="N89" s="322" t="s">
        <v>196</v>
      </c>
      <c r="O89" s="322" t="s">
        <v>25</v>
      </c>
      <c r="U89" s="442">
        <v>41736.707534722198</v>
      </c>
    </row>
    <row r="90" spans="1:21" ht="12.75" customHeight="1" x14ac:dyDescent="0.25">
      <c r="A90" s="322">
        <v>6</v>
      </c>
      <c r="B90" s="322" t="s">
        <v>230</v>
      </c>
      <c r="C90" s="322">
        <v>9</v>
      </c>
      <c r="D90" s="322" t="s">
        <v>225</v>
      </c>
      <c r="E90" s="322" t="s">
        <v>226</v>
      </c>
      <c r="F90" s="322" t="s">
        <v>220</v>
      </c>
      <c r="G90" s="322" t="s">
        <v>279</v>
      </c>
      <c r="H90" s="322" t="s">
        <v>280</v>
      </c>
      <c r="K90" s="322" t="s">
        <v>227</v>
      </c>
      <c r="L90" s="322" t="s">
        <v>228</v>
      </c>
      <c r="M90" s="322" t="s">
        <v>231</v>
      </c>
      <c r="N90" s="322" t="s">
        <v>191</v>
      </c>
      <c r="O90" s="322" t="s">
        <v>25</v>
      </c>
      <c r="U90" s="442">
        <v>41736.707534722198</v>
      </c>
    </row>
    <row r="91" spans="1:21" ht="12.75" customHeight="1" x14ac:dyDescent="0.25">
      <c r="A91" s="322">
        <v>6</v>
      </c>
      <c r="B91" s="322" t="s">
        <v>230</v>
      </c>
      <c r="C91" s="322">
        <v>9</v>
      </c>
      <c r="D91" s="322" t="s">
        <v>225</v>
      </c>
      <c r="E91" s="322" t="s">
        <v>226</v>
      </c>
      <c r="F91" s="322" t="s">
        <v>220</v>
      </c>
      <c r="G91" s="322" t="s">
        <v>279</v>
      </c>
      <c r="H91" s="322" t="s">
        <v>280</v>
      </c>
      <c r="K91" s="322" t="s">
        <v>227</v>
      </c>
      <c r="L91" s="322" t="s">
        <v>228</v>
      </c>
      <c r="M91" s="322" t="s">
        <v>231</v>
      </c>
      <c r="N91" s="322" t="s">
        <v>4</v>
      </c>
      <c r="O91" s="322" t="s">
        <v>25</v>
      </c>
      <c r="P91" s="322">
        <v>60</v>
      </c>
      <c r="R91" s="322">
        <v>41</v>
      </c>
      <c r="U91" s="442">
        <v>41736.707534722198</v>
      </c>
    </row>
    <row r="92" spans="1:21" ht="12.75" customHeight="1" x14ac:dyDescent="0.25">
      <c r="A92" s="322">
        <v>6</v>
      </c>
      <c r="B92" s="322" t="s">
        <v>230</v>
      </c>
      <c r="C92" s="322">
        <v>9</v>
      </c>
      <c r="D92" s="322" t="s">
        <v>225</v>
      </c>
      <c r="E92" s="322" t="s">
        <v>226</v>
      </c>
      <c r="F92" s="322" t="s">
        <v>220</v>
      </c>
      <c r="G92" s="322" t="s">
        <v>279</v>
      </c>
      <c r="H92" s="322" t="s">
        <v>280</v>
      </c>
      <c r="K92" s="322" t="s">
        <v>227</v>
      </c>
      <c r="L92" s="322" t="s">
        <v>228</v>
      </c>
      <c r="M92" s="322" t="s">
        <v>231</v>
      </c>
      <c r="N92" s="322" t="s">
        <v>5</v>
      </c>
      <c r="O92" s="322" t="s">
        <v>25</v>
      </c>
      <c r="P92" s="322">
        <v>126</v>
      </c>
      <c r="R92" s="322">
        <v>51.25</v>
      </c>
      <c r="U92" s="442">
        <v>41736.707534722198</v>
      </c>
    </row>
    <row r="93" spans="1:21" ht="12.75" customHeight="1" x14ac:dyDescent="0.25">
      <c r="A93" s="322">
        <v>6</v>
      </c>
      <c r="B93" s="322" t="s">
        <v>230</v>
      </c>
      <c r="C93" s="322">
        <v>9</v>
      </c>
      <c r="D93" s="322" t="s">
        <v>225</v>
      </c>
      <c r="E93" s="322" t="s">
        <v>226</v>
      </c>
      <c r="F93" s="322" t="s">
        <v>220</v>
      </c>
      <c r="G93" s="322" t="s">
        <v>279</v>
      </c>
      <c r="H93" s="322" t="s">
        <v>280</v>
      </c>
      <c r="K93" s="322" t="s">
        <v>227</v>
      </c>
      <c r="L93" s="322" t="s">
        <v>228</v>
      </c>
      <c r="M93" s="322" t="s">
        <v>231</v>
      </c>
      <c r="N93" s="322" t="s">
        <v>6</v>
      </c>
      <c r="O93" s="322" t="s">
        <v>25</v>
      </c>
      <c r="P93" s="322">
        <v>219</v>
      </c>
      <c r="R93" s="322">
        <v>61.5</v>
      </c>
      <c r="U93" s="442">
        <v>41736.707534722198</v>
      </c>
    </row>
    <row r="94" spans="1:21" ht="12.75" customHeight="1" x14ac:dyDescent="0.25">
      <c r="A94" s="322">
        <v>6</v>
      </c>
      <c r="B94" s="322" t="s">
        <v>230</v>
      </c>
      <c r="C94" s="322">
        <v>9</v>
      </c>
      <c r="D94" s="322" t="s">
        <v>225</v>
      </c>
      <c r="E94" s="322" t="s">
        <v>226</v>
      </c>
      <c r="F94" s="322" t="s">
        <v>220</v>
      </c>
      <c r="G94" s="322" t="s">
        <v>279</v>
      </c>
      <c r="H94" s="322" t="s">
        <v>280</v>
      </c>
      <c r="K94" s="322" t="s">
        <v>227</v>
      </c>
      <c r="L94" s="322" t="s">
        <v>228</v>
      </c>
      <c r="M94" s="322" t="s">
        <v>231</v>
      </c>
      <c r="N94" s="322" t="s">
        <v>7</v>
      </c>
      <c r="O94" s="322" t="s">
        <v>25</v>
      </c>
      <c r="P94" s="322">
        <v>150</v>
      </c>
      <c r="R94" s="322">
        <v>31.25</v>
      </c>
      <c r="U94" s="442">
        <v>41736.707534722198</v>
      </c>
    </row>
    <row r="95" spans="1:21" ht="12.75" customHeight="1" x14ac:dyDescent="0.25">
      <c r="A95" s="322">
        <v>6</v>
      </c>
      <c r="B95" s="322" t="s">
        <v>230</v>
      </c>
      <c r="C95" s="322">
        <v>9</v>
      </c>
      <c r="D95" s="322" t="s">
        <v>225</v>
      </c>
      <c r="E95" s="322" t="s">
        <v>226</v>
      </c>
      <c r="F95" s="322" t="s">
        <v>220</v>
      </c>
      <c r="G95" s="322" t="s">
        <v>279</v>
      </c>
      <c r="H95" s="322" t="s">
        <v>280</v>
      </c>
      <c r="K95" s="322" t="s">
        <v>227</v>
      </c>
      <c r="L95" s="322" t="s">
        <v>228</v>
      </c>
      <c r="M95" s="322" t="s">
        <v>231</v>
      </c>
      <c r="N95" s="322" t="s">
        <v>8</v>
      </c>
      <c r="O95" s="322" t="s">
        <v>25</v>
      </c>
      <c r="P95" s="322">
        <v>105</v>
      </c>
      <c r="R95" s="322">
        <v>5</v>
      </c>
      <c r="U95" s="442">
        <v>41736.707534722198</v>
      </c>
    </row>
    <row r="96" spans="1:21" ht="12.75" customHeight="1" x14ac:dyDescent="0.25">
      <c r="A96" s="322">
        <v>6</v>
      </c>
      <c r="B96" s="322" t="s">
        <v>230</v>
      </c>
      <c r="C96" s="322">
        <v>9</v>
      </c>
      <c r="D96" s="322" t="s">
        <v>225</v>
      </c>
      <c r="E96" s="322" t="s">
        <v>226</v>
      </c>
      <c r="F96" s="322" t="s">
        <v>220</v>
      </c>
      <c r="G96" s="322" t="s">
        <v>279</v>
      </c>
      <c r="H96" s="322" t="s">
        <v>280</v>
      </c>
      <c r="K96" s="322" t="s">
        <v>227</v>
      </c>
      <c r="L96" s="322" t="s">
        <v>228</v>
      </c>
      <c r="M96" s="322" t="s">
        <v>231</v>
      </c>
      <c r="N96" s="322" t="s">
        <v>9</v>
      </c>
      <c r="O96" s="322" t="s">
        <v>25</v>
      </c>
      <c r="P96" s="322">
        <v>60</v>
      </c>
      <c r="R96" s="322">
        <v>10</v>
      </c>
      <c r="U96" s="442">
        <v>41736.707534722198</v>
      </c>
    </row>
    <row r="97" spans="1:21" ht="12.75" customHeight="1" x14ac:dyDescent="0.25">
      <c r="A97" s="322">
        <v>6</v>
      </c>
      <c r="B97" s="322" t="s">
        <v>230</v>
      </c>
      <c r="C97" s="322">
        <v>9</v>
      </c>
      <c r="D97" s="322" t="s">
        <v>225</v>
      </c>
      <c r="E97" s="322" t="s">
        <v>226</v>
      </c>
      <c r="F97" s="322" t="s">
        <v>220</v>
      </c>
      <c r="G97" s="322" t="s">
        <v>279</v>
      </c>
      <c r="H97" s="322" t="s">
        <v>280</v>
      </c>
      <c r="K97" s="322" t="s">
        <v>227</v>
      </c>
      <c r="L97" s="322" t="s">
        <v>228</v>
      </c>
      <c r="M97" s="322" t="s">
        <v>232</v>
      </c>
      <c r="N97" s="322" t="s">
        <v>196</v>
      </c>
      <c r="O97" s="322" t="s">
        <v>26</v>
      </c>
      <c r="U97" s="442">
        <v>41736.707534722198</v>
      </c>
    </row>
    <row r="98" spans="1:21" ht="12.75" customHeight="1" x14ac:dyDescent="0.25">
      <c r="A98" s="322">
        <v>6</v>
      </c>
      <c r="B98" s="322" t="s">
        <v>230</v>
      </c>
      <c r="C98" s="322">
        <v>9</v>
      </c>
      <c r="D98" s="322" t="s">
        <v>225</v>
      </c>
      <c r="E98" s="322" t="s">
        <v>226</v>
      </c>
      <c r="F98" s="322" t="s">
        <v>220</v>
      </c>
      <c r="G98" s="322" t="s">
        <v>279</v>
      </c>
      <c r="H98" s="322" t="s">
        <v>280</v>
      </c>
      <c r="K98" s="322" t="s">
        <v>227</v>
      </c>
      <c r="L98" s="322" t="s">
        <v>228</v>
      </c>
      <c r="M98" s="322" t="s">
        <v>232</v>
      </c>
      <c r="N98" s="322" t="s">
        <v>191</v>
      </c>
      <c r="O98" s="322" t="s">
        <v>26</v>
      </c>
      <c r="U98" s="442">
        <v>41736.707534722198</v>
      </c>
    </row>
    <row r="99" spans="1:21" ht="12.75" customHeight="1" x14ac:dyDescent="0.25">
      <c r="A99" s="322">
        <v>6</v>
      </c>
      <c r="B99" s="322" t="s">
        <v>230</v>
      </c>
      <c r="C99" s="322">
        <v>9</v>
      </c>
      <c r="D99" s="322" t="s">
        <v>225</v>
      </c>
      <c r="E99" s="322" t="s">
        <v>226</v>
      </c>
      <c r="F99" s="322" t="s">
        <v>220</v>
      </c>
      <c r="G99" s="322" t="s">
        <v>279</v>
      </c>
      <c r="H99" s="322" t="s">
        <v>280</v>
      </c>
      <c r="K99" s="322" t="s">
        <v>227</v>
      </c>
      <c r="L99" s="322" t="s">
        <v>228</v>
      </c>
      <c r="M99" s="322" t="s">
        <v>232</v>
      </c>
      <c r="N99" s="322" t="s">
        <v>4</v>
      </c>
      <c r="O99" s="322" t="s">
        <v>26</v>
      </c>
      <c r="P99" s="322">
        <v>67</v>
      </c>
      <c r="R99" s="322">
        <v>29.85</v>
      </c>
      <c r="U99" s="442">
        <v>41736.707534722198</v>
      </c>
    </row>
    <row r="100" spans="1:21" ht="12.75" customHeight="1" x14ac:dyDescent="0.25">
      <c r="A100" s="322">
        <v>6</v>
      </c>
      <c r="B100" s="322" t="s">
        <v>230</v>
      </c>
      <c r="C100" s="322">
        <v>9</v>
      </c>
      <c r="D100" s="322" t="s">
        <v>225</v>
      </c>
      <c r="E100" s="322" t="s">
        <v>226</v>
      </c>
      <c r="F100" s="322" t="s">
        <v>220</v>
      </c>
      <c r="G100" s="322" t="s">
        <v>279</v>
      </c>
      <c r="H100" s="322" t="s">
        <v>280</v>
      </c>
      <c r="K100" s="322" t="s">
        <v>227</v>
      </c>
      <c r="L100" s="322" t="s">
        <v>228</v>
      </c>
      <c r="M100" s="322" t="s">
        <v>232</v>
      </c>
      <c r="N100" s="322" t="s">
        <v>5</v>
      </c>
      <c r="O100" s="322" t="s">
        <v>26</v>
      </c>
      <c r="P100" s="322">
        <v>170</v>
      </c>
      <c r="R100" s="322">
        <v>38.85</v>
      </c>
      <c r="U100" s="442">
        <v>41736.707534722198</v>
      </c>
    </row>
    <row r="101" spans="1:21" ht="12.75" customHeight="1" x14ac:dyDescent="0.25">
      <c r="A101" s="322">
        <v>6</v>
      </c>
      <c r="B101" s="322" t="s">
        <v>230</v>
      </c>
      <c r="C101" s="322">
        <v>9</v>
      </c>
      <c r="D101" s="322" t="s">
        <v>225</v>
      </c>
      <c r="E101" s="322" t="s">
        <v>226</v>
      </c>
      <c r="F101" s="322" t="s">
        <v>220</v>
      </c>
      <c r="G101" s="322" t="s">
        <v>279</v>
      </c>
      <c r="H101" s="322" t="s">
        <v>280</v>
      </c>
      <c r="K101" s="322" t="s">
        <v>227</v>
      </c>
      <c r="L101" s="322" t="s">
        <v>228</v>
      </c>
      <c r="M101" s="322" t="s">
        <v>232</v>
      </c>
      <c r="N101" s="322" t="s">
        <v>6</v>
      </c>
      <c r="O101" s="322" t="s">
        <v>26</v>
      </c>
      <c r="P101" s="322">
        <v>320</v>
      </c>
      <c r="R101" s="322">
        <v>46.066666666666698</v>
      </c>
      <c r="U101" s="442">
        <v>41736.707534722198</v>
      </c>
    </row>
    <row r="102" spans="1:21" ht="12.75" customHeight="1" x14ac:dyDescent="0.25">
      <c r="A102" s="322">
        <v>6</v>
      </c>
      <c r="B102" s="322" t="s">
        <v>230</v>
      </c>
      <c r="C102" s="322">
        <v>9</v>
      </c>
      <c r="D102" s="322" t="s">
        <v>225</v>
      </c>
      <c r="E102" s="322" t="s">
        <v>226</v>
      </c>
      <c r="F102" s="322" t="s">
        <v>220</v>
      </c>
      <c r="G102" s="322" t="s">
        <v>279</v>
      </c>
      <c r="H102" s="322" t="s">
        <v>280</v>
      </c>
      <c r="K102" s="322" t="s">
        <v>227</v>
      </c>
      <c r="L102" s="322" t="s">
        <v>228</v>
      </c>
      <c r="M102" s="322" t="s">
        <v>232</v>
      </c>
      <c r="N102" s="322" t="s">
        <v>7</v>
      </c>
      <c r="O102" s="322" t="s">
        <v>26</v>
      </c>
      <c r="P102" s="322">
        <v>229</v>
      </c>
      <c r="R102" s="322">
        <v>31.75</v>
      </c>
      <c r="U102" s="442">
        <v>41736.707534722198</v>
      </c>
    </row>
    <row r="103" spans="1:21" ht="12.75" customHeight="1" x14ac:dyDescent="0.25">
      <c r="A103" s="322">
        <v>6</v>
      </c>
      <c r="B103" s="322" t="s">
        <v>230</v>
      </c>
      <c r="C103" s="322">
        <v>9</v>
      </c>
      <c r="D103" s="322" t="s">
        <v>225</v>
      </c>
      <c r="E103" s="322" t="s">
        <v>226</v>
      </c>
      <c r="F103" s="322" t="s">
        <v>220</v>
      </c>
      <c r="G103" s="322" t="s">
        <v>279</v>
      </c>
      <c r="H103" s="322" t="s">
        <v>280</v>
      </c>
      <c r="K103" s="322" t="s">
        <v>227</v>
      </c>
      <c r="L103" s="322" t="s">
        <v>228</v>
      </c>
      <c r="M103" s="322" t="s">
        <v>232</v>
      </c>
      <c r="N103" s="322" t="s">
        <v>8</v>
      </c>
      <c r="O103" s="322" t="s">
        <v>26</v>
      </c>
      <c r="P103" s="322">
        <v>147</v>
      </c>
      <c r="R103" s="322">
        <v>2.5</v>
      </c>
      <c r="U103" s="442">
        <v>41736.707534722198</v>
      </c>
    </row>
    <row r="104" spans="1:21" ht="12.75" customHeight="1" x14ac:dyDescent="0.25">
      <c r="A104" s="322">
        <v>6</v>
      </c>
      <c r="B104" s="322" t="s">
        <v>230</v>
      </c>
      <c r="C104" s="322">
        <v>9</v>
      </c>
      <c r="D104" s="322" t="s">
        <v>225</v>
      </c>
      <c r="E104" s="322" t="s">
        <v>226</v>
      </c>
      <c r="F104" s="322" t="s">
        <v>220</v>
      </c>
      <c r="G104" s="322" t="s">
        <v>279</v>
      </c>
      <c r="H104" s="322" t="s">
        <v>280</v>
      </c>
      <c r="K104" s="322" t="s">
        <v>227</v>
      </c>
      <c r="L104" s="322" t="s">
        <v>228</v>
      </c>
      <c r="M104" s="322" t="s">
        <v>232</v>
      </c>
      <c r="N104" s="322" t="s">
        <v>9</v>
      </c>
      <c r="O104" s="322" t="s">
        <v>26</v>
      </c>
      <c r="P104" s="322">
        <v>120</v>
      </c>
      <c r="R104" s="322">
        <v>0.83333333333333304</v>
      </c>
      <c r="U104" s="442">
        <v>41736.707534722198</v>
      </c>
    </row>
    <row r="105" spans="1:21" ht="12.75" customHeight="1" x14ac:dyDescent="0.25">
      <c r="A105" s="322">
        <v>6</v>
      </c>
      <c r="B105" s="322" t="s">
        <v>230</v>
      </c>
      <c r="C105" s="322">
        <v>9</v>
      </c>
      <c r="D105" s="322" t="s">
        <v>225</v>
      </c>
      <c r="E105" s="322" t="s">
        <v>226</v>
      </c>
      <c r="F105" s="322" t="s">
        <v>220</v>
      </c>
      <c r="G105" s="322" t="s">
        <v>279</v>
      </c>
      <c r="H105" s="322" t="s">
        <v>280</v>
      </c>
      <c r="K105" s="322" t="s">
        <v>227</v>
      </c>
      <c r="L105" s="322" t="s">
        <v>228</v>
      </c>
      <c r="M105" s="322" t="s">
        <v>232</v>
      </c>
      <c r="N105" s="322" t="s">
        <v>196</v>
      </c>
      <c r="O105" s="322" t="s">
        <v>25</v>
      </c>
      <c r="U105" s="442">
        <v>41736.707534722198</v>
      </c>
    </row>
    <row r="106" spans="1:21" ht="12.75" customHeight="1" x14ac:dyDescent="0.25">
      <c r="A106" s="322">
        <v>6</v>
      </c>
      <c r="B106" s="322" t="s">
        <v>230</v>
      </c>
      <c r="C106" s="322">
        <v>9</v>
      </c>
      <c r="D106" s="322" t="s">
        <v>225</v>
      </c>
      <c r="E106" s="322" t="s">
        <v>226</v>
      </c>
      <c r="F106" s="322" t="s">
        <v>220</v>
      </c>
      <c r="G106" s="322" t="s">
        <v>279</v>
      </c>
      <c r="H106" s="322" t="s">
        <v>280</v>
      </c>
      <c r="K106" s="322" t="s">
        <v>227</v>
      </c>
      <c r="L106" s="322" t="s">
        <v>228</v>
      </c>
      <c r="M106" s="322" t="s">
        <v>232</v>
      </c>
      <c r="N106" s="322" t="s">
        <v>191</v>
      </c>
      <c r="O106" s="322" t="s">
        <v>25</v>
      </c>
      <c r="U106" s="442">
        <v>41736.707534722198</v>
      </c>
    </row>
    <row r="107" spans="1:21" ht="12.75" customHeight="1" x14ac:dyDescent="0.25">
      <c r="A107" s="322">
        <v>6</v>
      </c>
      <c r="B107" s="322" t="s">
        <v>230</v>
      </c>
      <c r="C107" s="322">
        <v>9</v>
      </c>
      <c r="D107" s="322" t="s">
        <v>225</v>
      </c>
      <c r="E107" s="322" t="s">
        <v>226</v>
      </c>
      <c r="F107" s="322" t="s">
        <v>220</v>
      </c>
      <c r="G107" s="322" t="s">
        <v>279</v>
      </c>
      <c r="H107" s="322" t="s">
        <v>280</v>
      </c>
      <c r="K107" s="322" t="s">
        <v>227</v>
      </c>
      <c r="L107" s="322" t="s">
        <v>228</v>
      </c>
      <c r="M107" s="322" t="s">
        <v>232</v>
      </c>
      <c r="N107" s="322" t="s">
        <v>4</v>
      </c>
      <c r="O107" s="322" t="s">
        <v>25</v>
      </c>
      <c r="P107" s="322">
        <v>71</v>
      </c>
      <c r="R107" s="322">
        <v>45.5</v>
      </c>
      <c r="U107" s="442">
        <v>41736.707534722198</v>
      </c>
    </row>
    <row r="108" spans="1:21" ht="12.75" customHeight="1" x14ac:dyDescent="0.25">
      <c r="A108" s="322">
        <v>6</v>
      </c>
      <c r="B108" s="322" t="s">
        <v>230</v>
      </c>
      <c r="C108" s="322">
        <v>9</v>
      </c>
      <c r="D108" s="322" t="s">
        <v>225</v>
      </c>
      <c r="E108" s="322" t="s">
        <v>226</v>
      </c>
      <c r="F108" s="322" t="s">
        <v>220</v>
      </c>
      <c r="G108" s="322" t="s">
        <v>279</v>
      </c>
      <c r="H108" s="322" t="s">
        <v>280</v>
      </c>
      <c r="K108" s="322" t="s">
        <v>227</v>
      </c>
      <c r="L108" s="322" t="s">
        <v>228</v>
      </c>
      <c r="M108" s="322" t="s">
        <v>232</v>
      </c>
      <c r="N108" s="322" t="s">
        <v>5</v>
      </c>
      <c r="O108" s="322" t="s">
        <v>25</v>
      </c>
      <c r="P108" s="322">
        <v>140</v>
      </c>
      <c r="R108" s="322">
        <v>64.75</v>
      </c>
      <c r="U108" s="442">
        <v>41736.707534722198</v>
      </c>
    </row>
    <row r="109" spans="1:21" ht="12.75" customHeight="1" x14ac:dyDescent="0.25">
      <c r="A109" s="322">
        <v>6</v>
      </c>
      <c r="B109" s="322" t="s">
        <v>230</v>
      </c>
      <c r="C109" s="322">
        <v>9</v>
      </c>
      <c r="D109" s="322" t="s">
        <v>225</v>
      </c>
      <c r="E109" s="322" t="s">
        <v>226</v>
      </c>
      <c r="F109" s="322" t="s">
        <v>220</v>
      </c>
      <c r="G109" s="322" t="s">
        <v>279</v>
      </c>
      <c r="H109" s="322" t="s">
        <v>280</v>
      </c>
      <c r="K109" s="322" t="s">
        <v>227</v>
      </c>
      <c r="L109" s="322" t="s">
        <v>228</v>
      </c>
      <c r="M109" s="322" t="s">
        <v>232</v>
      </c>
      <c r="N109" s="322" t="s">
        <v>6</v>
      </c>
      <c r="O109" s="322" t="s">
        <v>25</v>
      </c>
      <c r="P109" s="322">
        <v>265</v>
      </c>
      <c r="R109" s="322">
        <v>53.725000000000001</v>
      </c>
      <c r="U109" s="442">
        <v>41736.707534722198</v>
      </c>
    </row>
    <row r="110" spans="1:21" ht="12.75" customHeight="1" x14ac:dyDescent="0.25">
      <c r="A110" s="322">
        <v>6</v>
      </c>
      <c r="B110" s="322" t="s">
        <v>230</v>
      </c>
      <c r="C110" s="322">
        <v>9</v>
      </c>
      <c r="D110" s="322" t="s">
        <v>225</v>
      </c>
      <c r="E110" s="322" t="s">
        <v>226</v>
      </c>
      <c r="F110" s="322" t="s">
        <v>220</v>
      </c>
      <c r="G110" s="322" t="s">
        <v>279</v>
      </c>
      <c r="H110" s="322" t="s">
        <v>280</v>
      </c>
      <c r="K110" s="322" t="s">
        <v>227</v>
      </c>
      <c r="L110" s="322" t="s">
        <v>228</v>
      </c>
      <c r="M110" s="322" t="s">
        <v>232</v>
      </c>
      <c r="N110" s="322" t="s">
        <v>7</v>
      </c>
      <c r="O110" s="322" t="s">
        <v>25</v>
      </c>
      <c r="P110" s="322">
        <v>160</v>
      </c>
      <c r="R110" s="322">
        <v>44.0833333333333</v>
      </c>
      <c r="U110" s="442">
        <v>41736.707534722198</v>
      </c>
    </row>
    <row r="111" spans="1:21" ht="12.75" customHeight="1" x14ac:dyDescent="0.25">
      <c r="A111" s="322">
        <v>6</v>
      </c>
      <c r="B111" s="322" t="s">
        <v>230</v>
      </c>
      <c r="C111" s="322">
        <v>9</v>
      </c>
      <c r="D111" s="322" t="s">
        <v>225</v>
      </c>
      <c r="E111" s="322" t="s">
        <v>226</v>
      </c>
      <c r="F111" s="322" t="s">
        <v>220</v>
      </c>
      <c r="G111" s="322" t="s">
        <v>279</v>
      </c>
      <c r="H111" s="322" t="s">
        <v>280</v>
      </c>
      <c r="K111" s="322" t="s">
        <v>227</v>
      </c>
      <c r="L111" s="322" t="s">
        <v>228</v>
      </c>
      <c r="M111" s="322" t="s">
        <v>232</v>
      </c>
      <c r="N111" s="322" t="s">
        <v>8</v>
      </c>
      <c r="O111" s="322" t="s">
        <v>25</v>
      </c>
      <c r="P111" s="322">
        <v>84</v>
      </c>
      <c r="R111" s="322">
        <v>8.3333333333333304</v>
      </c>
      <c r="U111" s="442">
        <v>41736.707534722198</v>
      </c>
    </row>
    <row r="112" spans="1:21" ht="12.75" customHeight="1" x14ac:dyDescent="0.25">
      <c r="A112" s="322">
        <v>6</v>
      </c>
      <c r="B112" s="322" t="s">
        <v>230</v>
      </c>
      <c r="C112" s="322">
        <v>9</v>
      </c>
      <c r="D112" s="322" t="s">
        <v>225</v>
      </c>
      <c r="E112" s="322" t="s">
        <v>226</v>
      </c>
      <c r="F112" s="322" t="s">
        <v>220</v>
      </c>
      <c r="G112" s="322" t="s">
        <v>279</v>
      </c>
      <c r="H112" s="322" t="s">
        <v>280</v>
      </c>
      <c r="K112" s="322" t="s">
        <v>227</v>
      </c>
      <c r="L112" s="322" t="s">
        <v>228</v>
      </c>
      <c r="M112" s="322" t="s">
        <v>232</v>
      </c>
      <c r="N112" s="322" t="s">
        <v>9</v>
      </c>
      <c r="O112" s="322" t="s">
        <v>25</v>
      </c>
      <c r="P112" s="322">
        <v>63</v>
      </c>
      <c r="R112" s="322">
        <v>3.75</v>
      </c>
      <c r="U112" s="442">
        <v>41736.707534722198</v>
      </c>
    </row>
    <row r="113" spans="1:21" ht="12.75" customHeight="1" x14ac:dyDescent="0.25">
      <c r="A113" s="322">
        <v>6</v>
      </c>
      <c r="B113" s="322" t="s">
        <v>230</v>
      </c>
      <c r="C113" s="322">
        <v>9</v>
      </c>
      <c r="D113" s="322" t="s">
        <v>225</v>
      </c>
      <c r="E113" s="322" t="s">
        <v>226</v>
      </c>
      <c r="F113" s="322" t="s">
        <v>220</v>
      </c>
      <c r="G113" s="322" t="s">
        <v>279</v>
      </c>
      <c r="H113" s="322" t="s">
        <v>280</v>
      </c>
      <c r="K113" s="322" t="s">
        <v>227</v>
      </c>
      <c r="L113" s="322" t="s">
        <v>228</v>
      </c>
      <c r="M113" s="322" t="s">
        <v>233</v>
      </c>
      <c r="N113" s="322" t="s">
        <v>196</v>
      </c>
      <c r="O113" s="322" t="s">
        <v>26</v>
      </c>
      <c r="U113" s="442">
        <v>41736.707534722198</v>
      </c>
    </row>
    <row r="114" spans="1:21" ht="12.75" customHeight="1" x14ac:dyDescent="0.25">
      <c r="A114" s="322">
        <v>6</v>
      </c>
      <c r="B114" s="322" t="s">
        <v>230</v>
      </c>
      <c r="C114" s="322">
        <v>9</v>
      </c>
      <c r="D114" s="322" t="s">
        <v>225</v>
      </c>
      <c r="E114" s="322" t="s">
        <v>226</v>
      </c>
      <c r="F114" s="322" t="s">
        <v>220</v>
      </c>
      <c r="G114" s="322" t="s">
        <v>279</v>
      </c>
      <c r="H114" s="322" t="s">
        <v>280</v>
      </c>
      <c r="K114" s="322" t="s">
        <v>227</v>
      </c>
      <c r="L114" s="322" t="s">
        <v>228</v>
      </c>
      <c r="M114" s="322" t="s">
        <v>233</v>
      </c>
      <c r="N114" s="322" t="s">
        <v>191</v>
      </c>
      <c r="O114" s="322" t="s">
        <v>26</v>
      </c>
      <c r="U114" s="442">
        <v>41736.707534722198</v>
      </c>
    </row>
    <row r="115" spans="1:21" ht="12.75" customHeight="1" x14ac:dyDescent="0.25">
      <c r="A115" s="322">
        <v>6</v>
      </c>
      <c r="B115" s="322" t="s">
        <v>230</v>
      </c>
      <c r="C115" s="322">
        <v>9</v>
      </c>
      <c r="D115" s="322" t="s">
        <v>225</v>
      </c>
      <c r="E115" s="322" t="s">
        <v>226</v>
      </c>
      <c r="F115" s="322" t="s">
        <v>220</v>
      </c>
      <c r="G115" s="322" t="s">
        <v>279</v>
      </c>
      <c r="H115" s="322" t="s">
        <v>280</v>
      </c>
      <c r="K115" s="322" t="s">
        <v>227</v>
      </c>
      <c r="L115" s="322" t="s">
        <v>228</v>
      </c>
      <c r="M115" s="322" t="s">
        <v>233</v>
      </c>
      <c r="N115" s="322" t="s">
        <v>4</v>
      </c>
      <c r="O115" s="322" t="s">
        <v>26</v>
      </c>
      <c r="P115" s="322">
        <v>55</v>
      </c>
      <c r="R115" s="322">
        <v>30.4</v>
      </c>
      <c r="U115" s="442">
        <v>41736.707534722198</v>
      </c>
    </row>
    <row r="116" spans="1:21" ht="12.75" customHeight="1" x14ac:dyDescent="0.25">
      <c r="A116" s="322">
        <v>6</v>
      </c>
      <c r="B116" s="322" t="s">
        <v>230</v>
      </c>
      <c r="C116" s="322">
        <v>9</v>
      </c>
      <c r="D116" s="322" t="s">
        <v>225</v>
      </c>
      <c r="E116" s="322" t="s">
        <v>226</v>
      </c>
      <c r="F116" s="322" t="s">
        <v>220</v>
      </c>
      <c r="G116" s="322" t="s">
        <v>279</v>
      </c>
      <c r="H116" s="322" t="s">
        <v>280</v>
      </c>
      <c r="K116" s="322" t="s">
        <v>227</v>
      </c>
      <c r="L116" s="322" t="s">
        <v>228</v>
      </c>
      <c r="M116" s="322" t="s">
        <v>233</v>
      </c>
      <c r="N116" s="322" t="s">
        <v>5</v>
      </c>
      <c r="O116" s="322" t="s">
        <v>26</v>
      </c>
      <c r="P116" s="322">
        <v>141</v>
      </c>
      <c r="R116" s="322">
        <v>41</v>
      </c>
      <c r="U116" s="442">
        <v>41736.707534722198</v>
      </c>
    </row>
    <row r="117" spans="1:21" ht="12.75" customHeight="1" x14ac:dyDescent="0.25">
      <c r="A117" s="322">
        <v>6</v>
      </c>
      <c r="B117" s="322" t="s">
        <v>230</v>
      </c>
      <c r="C117" s="322">
        <v>9</v>
      </c>
      <c r="D117" s="322" t="s">
        <v>225</v>
      </c>
      <c r="E117" s="322" t="s">
        <v>226</v>
      </c>
      <c r="F117" s="322" t="s">
        <v>220</v>
      </c>
      <c r="G117" s="322" t="s">
        <v>279</v>
      </c>
      <c r="H117" s="322" t="s">
        <v>280</v>
      </c>
      <c r="K117" s="322" t="s">
        <v>227</v>
      </c>
      <c r="L117" s="322" t="s">
        <v>228</v>
      </c>
      <c r="M117" s="322" t="s">
        <v>233</v>
      </c>
      <c r="N117" s="322" t="s">
        <v>6</v>
      </c>
      <c r="O117" s="322" t="s">
        <v>26</v>
      </c>
      <c r="P117" s="322">
        <v>334</v>
      </c>
      <c r="R117" s="322">
        <v>41</v>
      </c>
      <c r="U117" s="442">
        <v>41736.707534722198</v>
      </c>
    </row>
    <row r="118" spans="1:21" ht="12.75" customHeight="1" x14ac:dyDescent="0.25">
      <c r="A118" s="322">
        <v>6</v>
      </c>
      <c r="B118" s="322" t="s">
        <v>230</v>
      </c>
      <c r="C118" s="322">
        <v>9</v>
      </c>
      <c r="D118" s="322" t="s">
        <v>225</v>
      </c>
      <c r="E118" s="322" t="s">
        <v>226</v>
      </c>
      <c r="F118" s="322" t="s">
        <v>220</v>
      </c>
      <c r="G118" s="322" t="s">
        <v>279</v>
      </c>
      <c r="H118" s="322" t="s">
        <v>280</v>
      </c>
      <c r="K118" s="322" t="s">
        <v>227</v>
      </c>
      <c r="L118" s="322" t="s">
        <v>228</v>
      </c>
      <c r="M118" s="322" t="s">
        <v>233</v>
      </c>
      <c r="N118" s="322" t="s">
        <v>7</v>
      </c>
      <c r="O118" s="322" t="s">
        <v>26</v>
      </c>
      <c r="P118" s="322">
        <v>223</v>
      </c>
      <c r="R118" s="322">
        <v>20.5</v>
      </c>
      <c r="U118" s="442">
        <v>41736.707534722198</v>
      </c>
    </row>
    <row r="119" spans="1:21" ht="12.75" customHeight="1" x14ac:dyDescent="0.25">
      <c r="A119" s="322">
        <v>6</v>
      </c>
      <c r="B119" s="322" t="s">
        <v>230</v>
      </c>
      <c r="C119" s="322">
        <v>9</v>
      </c>
      <c r="D119" s="322" t="s">
        <v>225</v>
      </c>
      <c r="E119" s="322" t="s">
        <v>226</v>
      </c>
      <c r="F119" s="322" t="s">
        <v>220</v>
      </c>
      <c r="G119" s="322" t="s">
        <v>279</v>
      </c>
      <c r="H119" s="322" t="s">
        <v>280</v>
      </c>
      <c r="K119" s="322" t="s">
        <v>227</v>
      </c>
      <c r="L119" s="322" t="s">
        <v>228</v>
      </c>
      <c r="M119" s="322" t="s">
        <v>233</v>
      </c>
      <c r="N119" s="322" t="s">
        <v>8</v>
      </c>
      <c r="O119" s="322" t="s">
        <v>26</v>
      </c>
      <c r="P119" s="322">
        <v>115</v>
      </c>
      <c r="R119" s="322">
        <v>3.75</v>
      </c>
      <c r="U119" s="442">
        <v>41736.707534722198</v>
      </c>
    </row>
    <row r="120" spans="1:21" ht="12.75" customHeight="1" x14ac:dyDescent="0.25">
      <c r="A120" s="322">
        <v>6</v>
      </c>
      <c r="B120" s="322" t="s">
        <v>230</v>
      </c>
      <c r="C120" s="322">
        <v>9</v>
      </c>
      <c r="D120" s="322" t="s">
        <v>225</v>
      </c>
      <c r="E120" s="322" t="s">
        <v>226</v>
      </c>
      <c r="F120" s="322" t="s">
        <v>220</v>
      </c>
      <c r="G120" s="322" t="s">
        <v>279</v>
      </c>
      <c r="H120" s="322" t="s">
        <v>280</v>
      </c>
      <c r="K120" s="322" t="s">
        <v>227</v>
      </c>
      <c r="L120" s="322" t="s">
        <v>228</v>
      </c>
      <c r="M120" s="322" t="s">
        <v>233</v>
      </c>
      <c r="N120" s="322" t="s">
        <v>9</v>
      </c>
      <c r="O120" s="322" t="s">
        <v>26</v>
      </c>
      <c r="R120" s="322">
        <v>0</v>
      </c>
      <c r="U120" s="442">
        <v>41736.707534722198</v>
      </c>
    </row>
    <row r="121" spans="1:21" ht="12.75" customHeight="1" x14ac:dyDescent="0.25">
      <c r="A121" s="322">
        <v>6</v>
      </c>
      <c r="B121" s="322" t="s">
        <v>230</v>
      </c>
      <c r="C121" s="322">
        <v>9</v>
      </c>
      <c r="D121" s="322" t="s">
        <v>225</v>
      </c>
      <c r="E121" s="322" t="s">
        <v>226</v>
      </c>
      <c r="F121" s="322" t="s">
        <v>220</v>
      </c>
      <c r="G121" s="322" t="s">
        <v>279</v>
      </c>
      <c r="H121" s="322" t="s">
        <v>280</v>
      </c>
      <c r="K121" s="322" t="s">
        <v>227</v>
      </c>
      <c r="L121" s="322" t="s">
        <v>228</v>
      </c>
      <c r="M121" s="322" t="s">
        <v>233</v>
      </c>
      <c r="N121" s="322" t="s">
        <v>196</v>
      </c>
      <c r="O121" s="322" t="s">
        <v>25</v>
      </c>
      <c r="U121" s="442">
        <v>41736.707534722198</v>
      </c>
    </row>
    <row r="122" spans="1:21" ht="12.75" customHeight="1" x14ac:dyDescent="0.25">
      <c r="A122" s="322">
        <v>6</v>
      </c>
      <c r="B122" s="322" t="s">
        <v>230</v>
      </c>
      <c r="C122" s="322">
        <v>9</v>
      </c>
      <c r="D122" s="322" t="s">
        <v>225</v>
      </c>
      <c r="E122" s="322" t="s">
        <v>226</v>
      </c>
      <c r="F122" s="322" t="s">
        <v>220</v>
      </c>
      <c r="G122" s="322" t="s">
        <v>279</v>
      </c>
      <c r="H122" s="322" t="s">
        <v>280</v>
      </c>
      <c r="K122" s="322" t="s">
        <v>227</v>
      </c>
      <c r="L122" s="322" t="s">
        <v>228</v>
      </c>
      <c r="M122" s="322" t="s">
        <v>233</v>
      </c>
      <c r="N122" s="322" t="s">
        <v>191</v>
      </c>
      <c r="O122" s="322" t="s">
        <v>25</v>
      </c>
      <c r="U122" s="442">
        <v>41736.707534722198</v>
      </c>
    </row>
    <row r="123" spans="1:21" ht="12.75" customHeight="1" x14ac:dyDescent="0.25">
      <c r="A123" s="322">
        <v>6</v>
      </c>
      <c r="B123" s="322" t="s">
        <v>230</v>
      </c>
      <c r="C123" s="322">
        <v>9</v>
      </c>
      <c r="D123" s="322" t="s">
        <v>225</v>
      </c>
      <c r="E123" s="322" t="s">
        <v>226</v>
      </c>
      <c r="F123" s="322" t="s">
        <v>220</v>
      </c>
      <c r="G123" s="322" t="s">
        <v>279</v>
      </c>
      <c r="H123" s="322" t="s">
        <v>280</v>
      </c>
      <c r="K123" s="322" t="s">
        <v>227</v>
      </c>
      <c r="L123" s="322" t="s">
        <v>228</v>
      </c>
      <c r="M123" s="322" t="s">
        <v>233</v>
      </c>
      <c r="N123" s="322" t="s">
        <v>4</v>
      </c>
      <c r="O123" s="322" t="s">
        <v>25</v>
      </c>
      <c r="P123" s="322">
        <v>60</v>
      </c>
      <c r="R123" s="322">
        <v>37.924999999999997</v>
      </c>
      <c r="U123" s="442">
        <v>41736.707534722198</v>
      </c>
    </row>
    <row r="124" spans="1:21" ht="12.75" customHeight="1" x14ac:dyDescent="0.25">
      <c r="A124" s="322">
        <v>6</v>
      </c>
      <c r="B124" s="322" t="s">
        <v>230</v>
      </c>
      <c r="C124" s="322">
        <v>9</v>
      </c>
      <c r="D124" s="322" t="s">
        <v>225</v>
      </c>
      <c r="E124" s="322" t="s">
        <v>226</v>
      </c>
      <c r="F124" s="322" t="s">
        <v>220</v>
      </c>
      <c r="G124" s="322" t="s">
        <v>279</v>
      </c>
      <c r="H124" s="322" t="s">
        <v>280</v>
      </c>
      <c r="K124" s="322" t="s">
        <v>227</v>
      </c>
      <c r="L124" s="322" t="s">
        <v>228</v>
      </c>
      <c r="M124" s="322" t="s">
        <v>233</v>
      </c>
      <c r="N124" s="322" t="s">
        <v>5</v>
      </c>
      <c r="O124" s="322" t="s">
        <v>25</v>
      </c>
      <c r="P124" s="322">
        <v>123</v>
      </c>
      <c r="R124" s="322">
        <v>46.125</v>
      </c>
      <c r="U124" s="442">
        <v>41736.707534722198</v>
      </c>
    </row>
    <row r="125" spans="1:21" ht="12.75" customHeight="1" x14ac:dyDescent="0.25">
      <c r="A125" s="322">
        <v>6</v>
      </c>
      <c r="B125" s="322" t="s">
        <v>230</v>
      </c>
      <c r="C125" s="322">
        <v>9</v>
      </c>
      <c r="D125" s="322" t="s">
        <v>225</v>
      </c>
      <c r="E125" s="322" t="s">
        <v>226</v>
      </c>
      <c r="F125" s="322" t="s">
        <v>220</v>
      </c>
      <c r="G125" s="322" t="s">
        <v>279</v>
      </c>
      <c r="H125" s="322" t="s">
        <v>280</v>
      </c>
      <c r="K125" s="322" t="s">
        <v>227</v>
      </c>
      <c r="L125" s="322" t="s">
        <v>228</v>
      </c>
      <c r="M125" s="322" t="s">
        <v>233</v>
      </c>
      <c r="N125" s="322" t="s">
        <v>6</v>
      </c>
      <c r="O125" s="322" t="s">
        <v>25</v>
      </c>
      <c r="P125" s="322">
        <v>240</v>
      </c>
      <c r="R125" s="322">
        <v>52.2</v>
      </c>
      <c r="U125" s="442">
        <v>41736.707534722198</v>
      </c>
    </row>
    <row r="126" spans="1:21" ht="12.75" customHeight="1" x14ac:dyDescent="0.25">
      <c r="A126" s="322">
        <v>6</v>
      </c>
      <c r="B126" s="322" t="s">
        <v>230</v>
      </c>
      <c r="C126" s="322">
        <v>9</v>
      </c>
      <c r="D126" s="322" t="s">
        <v>225</v>
      </c>
      <c r="E126" s="322" t="s">
        <v>226</v>
      </c>
      <c r="F126" s="322" t="s">
        <v>220</v>
      </c>
      <c r="G126" s="322" t="s">
        <v>279</v>
      </c>
      <c r="H126" s="322" t="s">
        <v>280</v>
      </c>
      <c r="K126" s="322" t="s">
        <v>227</v>
      </c>
      <c r="L126" s="322" t="s">
        <v>228</v>
      </c>
      <c r="M126" s="322" t="s">
        <v>233</v>
      </c>
      <c r="N126" s="322" t="s">
        <v>7</v>
      </c>
      <c r="O126" s="322" t="s">
        <v>25</v>
      </c>
      <c r="P126" s="322">
        <v>154</v>
      </c>
      <c r="R126" s="322">
        <v>42.5</v>
      </c>
      <c r="U126" s="442">
        <v>41736.707534722198</v>
      </c>
    </row>
    <row r="127" spans="1:21" ht="12.75" customHeight="1" x14ac:dyDescent="0.25">
      <c r="A127" s="322">
        <v>6</v>
      </c>
      <c r="B127" s="322" t="s">
        <v>230</v>
      </c>
      <c r="C127" s="322">
        <v>9</v>
      </c>
      <c r="D127" s="322" t="s">
        <v>225</v>
      </c>
      <c r="E127" s="322" t="s">
        <v>226</v>
      </c>
      <c r="F127" s="322" t="s">
        <v>220</v>
      </c>
      <c r="G127" s="322" t="s">
        <v>279</v>
      </c>
      <c r="H127" s="322" t="s">
        <v>280</v>
      </c>
      <c r="K127" s="322" t="s">
        <v>227</v>
      </c>
      <c r="L127" s="322" t="s">
        <v>228</v>
      </c>
      <c r="M127" s="322" t="s">
        <v>233</v>
      </c>
      <c r="N127" s="322" t="s">
        <v>8</v>
      </c>
      <c r="O127" s="322" t="s">
        <v>25</v>
      </c>
      <c r="P127" s="322">
        <v>97</v>
      </c>
      <c r="R127" s="322">
        <v>3.75</v>
      </c>
      <c r="U127" s="442">
        <v>41736.707534722198</v>
      </c>
    </row>
    <row r="128" spans="1:21" ht="12.75" customHeight="1" x14ac:dyDescent="0.25">
      <c r="A128" s="322">
        <v>6</v>
      </c>
      <c r="B128" s="322" t="s">
        <v>230</v>
      </c>
      <c r="C128" s="322">
        <v>9</v>
      </c>
      <c r="D128" s="322" t="s">
        <v>225</v>
      </c>
      <c r="E128" s="322" t="s">
        <v>226</v>
      </c>
      <c r="F128" s="322" t="s">
        <v>220</v>
      </c>
      <c r="G128" s="322" t="s">
        <v>279</v>
      </c>
      <c r="H128" s="322" t="s">
        <v>280</v>
      </c>
      <c r="K128" s="322" t="s">
        <v>227</v>
      </c>
      <c r="L128" s="322" t="s">
        <v>228</v>
      </c>
      <c r="M128" s="322" t="s">
        <v>233</v>
      </c>
      <c r="N128" s="322" t="s">
        <v>9</v>
      </c>
      <c r="O128" s="322" t="s">
        <v>25</v>
      </c>
      <c r="P128" s="322">
        <v>9</v>
      </c>
      <c r="R128" s="322">
        <v>5.2083333333333304</v>
      </c>
      <c r="U128" s="442">
        <v>41736.707534722198</v>
      </c>
    </row>
    <row r="129" spans="1:21" ht="12.75" customHeight="1" x14ac:dyDescent="0.25">
      <c r="A129" s="322">
        <v>6</v>
      </c>
      <c r="B129" s="322" t="s">
        <v>230</v>
      </c>
      <c r="C129" s="322">
        <v>9</v>
      </c>
      <c r="D129" s="322" t="s">
        <v>225</v>
      </c>
      <c r="E129" s="322" t="s">
        <v>226</v>
      </c>
      <c r="F129" s="322" t="s">
        <v>220</v>
      </c>
      <c r="G129" s="322" t="s">
        <v>279</v>
      </c>
      <c r="H129" s="322" t="s">
        <v>280</v>
      </c>
      <c r="K129" s="322" t="s">
        <v>227</v>
      </c>
      <c r="L129" s="322" t="s">
        <v>228</v>
      </c>
      <c r="M129" s="322" t="s">
        <v>241</v>
      </c>
      <c r="N129" s="322" t="s">
        <v>196</v>
      </c>
      <c r="O129" s="322" t="s">
        <v>26</v>
      </c>
      <c r="U129" s="442">
        <v>41736.707534722198</v>
      </c>
    </row>
    <row r="130" spans="1:21" ht="12.75" customHeight="1" x14ac:dyDescent="0.25">
      <c r="A130" s="322">
        <v>6</v>
      </c>
      <c r="B130" s="322" t="s">
        <v>230</v>
      </c>
      <c r="C130" s="322">
        <v>9</v>
      </c>
      <c r="D130" s="322" t="s">
        <v>225</v>
      </c>
      <c r="E130" s="322" t="s">
        <v>226</v>
      </c>
      <c r="F130" s="322" t="s">
        <v>220</v>
      </c>
      <c r="G130" s="322" t="s">
        <v>279</v>
      </c>
      <c r="H130" s="322" t="s">
        <v>280</v>
      </c>
      <c r="K130" s="322" t="s">
        <v>227</v>
      </c>
      <c r="L130" s="322" t="s">
        <v>228</v>
      </c>
      <c r="M130" s="322" t="s">
        <v>241</v>
      </c>
      <c r="N130" s="322" t="s">
        <v>191</v>
      </c>
      <c r="O130" s="322" t="s">
        <v>26</v>
      </c>
      <c r="U130" s="442">
        <v>41736.707534722198</v>
      </c>
    </row>
    <row r="131" spans="1:21" ht="12.75" customHeight="1" x14ac:dyDescent="0.25">
      <c r="A131" s="322">
        <v>6</v>
      </c>
      <c r="B131" s="322" t="s">
        <v>230</v>
      </c>
      <c r="C131" s="322">
        <v>9</v>
      </c>
      <c r="D131" s="322" t="s">
        <v>225</v>
      </c>
      <c r="E131" s="322" t="s">
        <v>226</v>
      </c>
      <c r="F131" s="322" t="s">
        <v>220</v>
      </c>
      <c r="G131" s="322" t="s">
        <v>279</v>
      </c>
      <c r="H131" s="322" t="s">
        <v>280</v>
      </c>
      <c r="K131" s="322" t="s">
        <v>227</v>
      </c>
      <c r="L131" s="322" t="s">
        <v>228</v>
      </c>
      <c r="M131" s="322" t="s">
        <v>241</v>
      </c>
      <c r="N131" s="322" t="s">
        <v>4</v>
      </c>
      <c r="O131" s="322" t="s">
        <v>26</v>
      </c>
      <c r="P131" s="322">
        <v>60</v>
      </c>
      <c r="R131" s="322">
        <v>41</v>
      </c>
      <c r="U131" s="442">
        <v>41736.707534722198</v>
      </c>
    </row>
    <row r="132" spans="1:21" ht="12.75" customHeight="1" x14ac:dyDescent="0.25">
      <c r="A132" s="322">
        <v>6</v>
      </c>
      <c r="B132" s="322" t="s">
        <v>230</v>
      </c>
      <c r="C132" s="322">
        <v>9</v>
      </c>
      <c r="D132" s="322" t="s">
        <v>225</v>
      </c>
      <c r="E132" s="322" t="s">
        <v>226</v>
      </c>
      <c r="F132" s="322" t="s">
        <v>220</v>
      </c>
      <c r="G132" s="322" t="s">
        <v>279</v>
      </c>
      <c r="H132" s="322" t="s">
        <v>280</v>
      </c>
      <c r="K132" s="322" t="s">
        <v>227</v>
      </c>
      <c r="L132" s="322" t="s">
        <v>228</v>
      </c>
      <c r="M132" s="322" t="s">
        <v>241</v>
      </c>
      <c r="N132" s="322" t="s">
        <v>5</v>
      </c>
      <c r="O132" s="322" t="s">
        <v>26</v>
      </c>
      <c r="P132" s="322">
        <v>180</v>
      </c>
      <c r="R132" s="322">
        <v>42.266666666666701</v>
      </c>
      <c r="U132" s="442">
        <v>41736.707534722198</v>
      </c>
    </row>
    <row r="133" spans="1:21" ht="12.75" customHeight="1" x14ac:dyDescent="0.25">
      <c r="A133" s="322">
        <v>6</v>
      </c>
      <c r="B133" s="322" t="s">
        <v>230</v>
      </c>
      <c r="C133" s="322">
        <v>9</v>
      </c>
      <c r="D133" s="322" t="s">
        <v>225</v>
      </c>
      <c r="E133" s="322" t="s">
        <v>226</v>
      </c>
      <c r="F133" s="322" t="s">
        <v>220</v>
      </c>
      <c r="G133" s="322" t="s">
        <v>279</v>
      </c>
      <c r="H133" s="322" t="s">
        <v>280</v>
      </c>
      <c r="K133" s="322" t="s">
        <v>227</v>
      </c>
      <c r="L133" s="322" t="s">
        <v>228</v>
      </c>
      <c r="M133" s="322" t="s">
        <v>241</v>
      </c>
      <c r="N133" s="322" t="s">
        <v>6</v>
      </c>
      <c r="O133" s="322" t="s">
        <v>26</v>
      </c>
      <c r="P133" s="322">
        <v>313</v>
      </c>
      <c r="R133" s="322">
        <v>41</v>
      </c>
      <c r="U133" s="442">
        <v>41736.707534722198</v>
      </c>
    </row>
    <row r="134" spans="1:21" ht="12.75" customHeight="1" x14ac:dyDescent="0.25">
      <c r="A134" s="322">
        <v>6</v>
      </c>
      <c r="B134" s="322" t="s">
        <v>230</v>
      </c>
      <c r="C134" s="322">
        <v>9</v>
      </c>
      <c r="D134" s="322" t="s">
        <v>225</v>
      </c>
      <c r="E134" s="322" t="s">
        <v>226</v>
      </c>
      <c r="F134" s="322" t="s">
        <v>220</v>
      </c>
      <c r="G134" s="322" t="s">
        <v>279</v>
      </c>
      <c r="H134" s="322" t="s">
        <v>280</v>
      </c>
      <c r="K134" s="322" t="s">
        <v>227</v>
      </c>
      <c r="L134" s="322" t="s">
        <v>228</v>
      </c>
      <c r="M134" s="322" t="s">
        <v>241</v>
      </c>
      <c r="N134" s="322" t="s">
        <v>7</v>
      </c>
      <c r="O134" s="322" t="s">
        <v>26</v>
      </c>
      <c r="P134" s="322">
        <v>228</v>
      </c>
      <c r="R134" s="322">
        <v>4.5</v>
      </c>
      <c r="U134" s="442">
        <v>41736.707534722198</v>
      </c>
    </row>
    <row r="135" spans="1:21" ht="12.75" customHeight="1" x14ac:dyDescent="0.25">
      <c r="A135" s="322">
        <v>6</v>
      </c>
      <c r="B135" s="322" t="s">
        <v>230</v>
      </c>
      <c r="C135" s="322">
        <v>9</v>
      </c>
      <c r="D135" s="322" t="s">
        <v>225</v>
      </c>
      <c r="E135" s="322" t="s">
        <v>226</v>
      </c>
      <c r="F135" s="322" t="s">
        <v>220</v>
      </c>
      <c r="G135" s="322" t="s">
        <v>279</v>
      </c>
      <c r="H135" s="322" t="s">
        <v>280</v>
      </c>
      <c r="K135" s="322" t="s">
        <v>227</v>
      </c>
      <c r="L135" s="322" t="s">
        <v>228</v>
      </c>
      <c r="M135" s="322" t="s">
        <v>241</v>
      </c>
      <c r="N135" s="322" t="s">
        <v>8</v>
      </c>
      <c r="O135" s="322" t="s">
        <v>26</v>
      </c>
      <c r="P135" s="322">
        <v>211</v>
      </c>
      <c r="R135" s="322">
        <v>0</v>
      </c>
      <c r="U135" s="442">
        <v>41736.707534722198</v>
      </c>
    </row>
    <row r="136" spans="1:21" ht="12.75" customHeight="1" x14ac:dyDescent="0.25">
      <c r="A136" s="322">
        <v>6</v>
      </c>
      <c r="B136" s="322" t="s">
        <v>230</v>
      </c>
      <c r="C136" s="322">
        <v>9</v>
      </c>
      <c r="D136" s="322" t="s">
        <v>225</v>
      </c>
      <c r="E136" s="322" t="s">
        <v>226</v>
      </c>
      <c r="F136" s="322" t="s">
        <v>220</v>
      </c>
      <c r="G136" s="322" t="s">
        <v>279</v>
      </c>
      <c r="H136" s="322" t="s">
        <v>280</v>
      </c>
      <c r="K136" s="322" t="s">
        <v>227</v>
      </c>
      <c r="L136" s="322" t="s">
        <v>228</v>
      </c>
      <c r="M136" s="322" t="s">
        <v>241</v>
      </c>
      <c r="N136" s="322" t="s">
        <v>9</v>
      </c>
      <c r="O136" s="322" t="s">
        <v>26</v>
      </c>
      <c r="P136" s="322">
        <v>230</v>
      </c>
      <c r="R136" s="322">
        <v>0</v>
      </c>
      <c r="U136" s="442">
        <v>41736.707534722198</v>
      </c>
    </row>
    <row r="137" spans="1:21" ht="12.75" customHeight="1" x14ac:dyDescent="0.25">
      <c r="A137" s="322">
        <v>6</v>
      </c>
      <c r="B137" s="322" t="s">
        <v>230</v>
      </c>
      <c r="C137" s="322">
        <v>9</v>
      </c>
      <c r="D137" s="322" t="s">
        <v>225</v>
      </c>
      <c r="E137" s="322" t="s">
        <v>226</v>
      </c>
      <c r="F137" s="322" t="s">
        <v>220</v>
      </c>
      <c r="G137" s="322" t="s">
        <v>279</v>
      </c>
      <c r="H137" s="322" t="s">
        <v>280</v>
      </c>
      <c r="K137" s="322" t="s">
        <v>227</v>
      </c>
      <c r="L137" s="322" t="s">
        <v>228</v>
      </c>
      <c r="M137" s="322" t="s">
        <v>241</v>
      </c>
      <c r="N137" s="322" t="s">
        <v>196</v>
      </c>
      <c r="O137" s="322" t="s">
        <v>25</v>
      </c>
      <c r="U137" s="442">
        <v>41736.707534722198</v>
      </c>
    </row>
    <row r="138" spans="1:21" ht="12.75" customHeight="1" x14ac:dyDescent="0.25">
      <c r="A138" s="322">
        <v>6</v>
      </c>
      <c r="B138" s="322" t="s">
        <v>230</v>
      </c>
      <c r="C138" s="322">
        <v>9</v>
      </c>
      <c r="D138" s="322" t="s">
        <v>225</v>
      </c>
      <c r="E138" s="322" t="s">
        <v>226</v>
      </c>
      <c r="F138" s="322" t="s">
        <v>220</v>
      </c>
      <c r="G138" s="322" t="s">
        <v>279</v>
      </c>
      <c r="H138" s="322" t="s">
        <v>280</v>
      </c>
      <c r="K138" s="322" t="s">
        <v>227</v>
      </c>
      <c r="L138" s="322" t="s">
        <v>228</v>
      </c>
      <c r="M138" s="322" t="s">
        <v>241</v>
      </c>
      <c r="N138" s="322" t="s">
        <v>191</v>
      </c>
      <c r="O138" s="322" t="s">
        <v>25</v>
      </c>
      <c r="U138" s="442">
        <v>41736.707534722198</v>
      </c>
    </row>
    <row r="139" spans="1:21" ht="12.75" customHeight="1" x14ac:dyDescent="0.25">
      <c r="A139" s="322">
        <v>6</v>
      </c>
      <c r="B139" s="322" t="s">
        <v>230</v>
      </c>
      <c r="C139" s="322">
        <v>9</v>
      </c>
      <c r="D139" s="322" t="s">
        <v>225</v>
      </c>
      <c r="E139" s="322" t="s">
        <v>226</v>
      </c>
      <c r="F139" s="322" t="s">
        <v>220</v>
      </c>
      <c r="G139" s="322" t="s">
        <v>279</v>
      </c>
      <c r="H139" s="322" t="s">
        <v>280</v>
      </c>
      <c r="K139" s="322" t="s">
        <v>227</v>
      </c>
      <c r="L139" s="322" t="s">
        <v>228</v>
      </c>
      <c r="M139" s="322" t="s">
        <v>241</v>
      </c>
      <c r="N139" s="322" t="s">
        <v>4</v>
      </c>
      <c r="O139" s="322" t="s">
        <v>25</v>
      </c>
      <c r="P139" s="322">
        <v>56</v>
      </c>
      <c r="R139" s="322">
        <v>41</v>
      </c>
      <c r="U139" s="442">
        <v>41736.707534722198</v>
      </c>
    </row>
    <row r="140" spans="1:21" ht="12.75" customHeight="1" x14ac:dyDescent="0.25">
      <c r="A140" s="322">
        <v>6</v>
      </c>
      <c r="B140" s="322" t="s">
        <v>230</v>
      </c>
      <c r="C140" s="322">
        <v>9</v>
      </c>
      <c r="D140" s="322" t="s">
        <v>225</v>
      </c>
      <c r="E140" s="322" t="s">
        <v>226</v>
      </c>
      <c r="F140" s="322" t="s">
        <v>220</v>
      </c>
      <c r="G140" s="322" t="s">
        <v>279</v>
      </c>
      <c r="H140" s="322" t="s">
        <v>280</v>
      </c>
      <c r="K140" s="322" t="s">
        <v>227</v>
      </c>
      <c r="L140" s="322" t="s">
        <v>228</v>
      </c>
      <c r="M140" s="322" t="s">
        <v>241</v>
      </c>
      <c r="N140" s="322" t="s">
        <v>5</v>
      </c>
      <c r="O140" s="322" t="s">
        <v>25</v>
      </c>
      <c r="P140" s="322">
        <v>125</v>
      </c>
      <c r="R140" s="322">
        <v>44.8</v>
      </c>
      <c r="U140" s="442">
        <v>41736.707534722198</v>
      </c>
    </row>
    <row r="141" spans="1:21" ht="12.75" customHeight="1" x14ac:dyDescent="0.25">
      <c r="A141" s="322">
        <v>6</v>
      </c>
      <c r="B141" s="322" t="s">
        <v>230</v>
      </c>
      <c r="C141" s="322">
        <v>9</v>
      </c>
      <c r="D141" s="322" t="s">
        <v>225</v>
      </c>
      <c r="E141" s="322" t="s">
        <v>226</v>
      </c>
      <c r="F141" s="322" t="s">
        <v>220</v>
      </c>
      <c r="G141" s="322" t="s">
        <v>279</v>
      </c>
      <c r="H141" s="322" t="s">
        <v>280</v>
      </c>
      <c r="K141" s="322" t="s">
        <v>227</v>
      </c>
      <c r="L141" s="322" t="s">
        <v>228</v>
      </c>
      <c r="M141" s="322" t="s">
        <v>241</v>
      </c>
      <c r="N141" s="322" t="s">
        <v>6</v>
      </c>
      <c r="O141" s="322" t="s">
        <v>25</v>
      </c>
      <c r="P141" s="322">
        <v>249</v>
      </c>
      <c r="R141" s="322">
        <v>46.7</v>
      </c>
      <c r="U141" s="442">
        <v>41736.707534722198</v>
      </c>
    </row>
    <row r="142" spans="1:21" ht="12.75" customHeight="1" x14ac:dyDescent="0.25">
      <c r="A142" s="322">
        <v>6</v>
      </c>
      <c r="B142" s="322" t="s">
        <v>230</v>
      </c>
      <c r="C142" s="322">
        <v>9</v>
      </c>
      <c r="D142" s="322" t="s">
        <v>225</v>
      </c>
      <c r="E142" s="322" t="s">
        <v>226</v>
      </c>
      <c r="F142" s="322" t="s">
        <v>220</v>
      </c>
      <c r="G142" s="322" t="s">
        <v>279</v>
      </c>
      <c r="H142" s="322" t="s">
        <v>280</v>
      </c>
      <c r="K142" s="322" t="s">
        <v>227</v>
      </c>
      <c r="L142" s="322" t="s">
        <v>228</v>
      </c>
      <c r="M142" s="322" t="s">
        <v>241</v>
      </c>
      <c r="N142" s="322" t="s">
        <v>7</v>
      </c>
      <c r="O142" s="322" t="s">
        <v>25</v>
      </c>
      <c r="P142" s="322">
        <v>160</v>
      </c>
      <c r="R142" s="322">
        <v>32.799999999999997</v>
      </c>
      <c r="U142" s="442">
        <v>41736.707534722198</v>
      </c>
    </row>
    <row r="143" spans="1:21" ht="12.75" customHeight="1" x14ac:dyDescent="0.25">
      <c r="A143" s="322">
        <v>6</v>
      </c>
      <c r="B143" s="322" t="s">
        <v>230</v>
      </c>
      <c r="C143" s="322">
        <v>9</v>
      </c>
      <c r="D143" s="322" t="s">
        <v>225</v>
      </c>
      <c r="E143" s="322" t="s">
        <v>226</v>
      </c>
      <c r="F143" s="322" t="s">
        <v>220</v>
      </c>
      <c r="G143" s="322" t="s">
        <v>279</v>
      </c>
      <c r="H143" s="322" t="s">
        <v>280</v>
      </c>
      <c r="K143" s="322" t="s">
        <v>227</v>
      </c>
      <c r="L143" s="322" t="s">
        <v>228</v>
      </c>
      <c r="M143" s="322" t="s">
        <v>241</v>
      </c>
      <c r="N143" s="322" t="s">
        <v>8</v>
      </c>
      <c r="O143" s="322" t="s">
        <v>25</v>
      </c>
      <c r="P143" s="322">
        <v>111</v>
      </c>
      <c r="R143" s="322">
        <v>13.125</v>
      </c>
      <c r="U143" s="442">
        <v>41736.707534722198</v>
      </c>
    </row>
    <row r="144" spans="1:21" ht="12.75" customHeight="1" x14ac:dyDescent="0.25">
      <c r="A144" s="322">
        <v>6</v>
      </c>
      <c r="B144" s="322" t="s">
        <v>230</v>
      </c>
      <c r="C144" s="322">
        <v>9</v>
      </c>
      <c r="D144" s="322" t="s">
        <v>225</v>
      </c>
      <c r="E144" s="322" t="s">
        <v>226</v>
      </c>
      <c r="F144" s="322" t="s">
        <v>220</v>
      </c>
      <c r="G144" s="322" t="s">
        <v>279</v>
      </c>
      <c r="H144" s="322" t="s">
        <v>280</v>
      </c>
      <c r="K144" s="322" t="s">
        <v>227</v>
      </c>
      <c r="L144" s="322" t="s">
        <v>228</v>
      </c>
      <c r="M144" s="322" t="s">
        <v>241</v>
      </c>
      <c r="N144" s="322" t="s">
        <v>9</v>
      </c>
      <c r="O144" s="322" t="s">
        <v>25</v>
      </c>
      <c r="P144" s="322">
        <v>114</v>
      </c>
      <c r="R144" s="322">
        <v>0</v>
      </c>
      <c r="U144" s="442">
        <v>41736.707534722198</v>
      </c>
    </row>
    <row r="145" spans="1:22" ht="12.75" customHeight="1" x14ac:dyDescent="0.25">
      <c r="A145" s="322">
        <v>11</v>
      </c>
      <c r="B145" s="322" t="s">
        <v>230</v>
      </c>
      <c r="C145" s="322">
        <v>4</v>
      </c>
      <c r="D145" s="322" t="s">
        <v>236</v>
      </c>
      <c r="E145" s="322" t="s">
        <v>244</v>
      </c>
      <c r="F145" s="322" t="s">
        <v>220</v>
      </c>
      <c r="G145" s="322" t="s">
        <v>279</v>
      </c>
      <c r="H145" s="322" t="s">
        <v>280</v>
      </c>
      <c r="N145" s="322" t="s">
        <v>221</v>
      </c>
      <c r="O145" s="322" t="s">
        <v>222</v>
      </c>
      <c r="Q145" s="322">
        <v>3.0436674922</v>
      </c>
      <c r="R145" s="322">
        <v>5.0167440576362603</v>
      </c>
      <c r="T145" s="322">
        <v>1.6482562797981899</v>
      </c>
      <c r="U145" s="442">
        <v>41736.707511574103</v>
      </c>
    </row>
    <row r="146" spans="1:22" ht="12.75" customHeight="1" x14ac:dyDescent="0.25">
      <c r="A146" s="322">
        <v>14</v>
      </c>
      <c r="B146" s="322" t="s">
        <v>230</v>
      </c>
      <c r="C146" s="322">
        <v>17</v>
      </c>
      <c r="D146" s="323" t="s">
        <v>418</v>
      </c>
      <c r="F146" s="322">
        <v>2013</v>
      </c>
      <c r="G146" s="323" t="s">
        <v>360</v>
      </c>
      <c r="H146" s="322" t="s">
        <v>280</v>
      </c>
      <c r="K146" s="322" t="s">
        <v>238</v>
      </c>
      <c r="L146" s="322">
        <v>2013</v>
      </c>
      <c r="R146" s="743">
        <f>'MoT Travel Input'!E45</f>
        <v>4441600</v>
      </c>
      <c r="U146" s="442">
        <v>42583</v>
      </c>
      <c r="V146" s="323" t="s">
        <v>362</v>
      </c>
    </row>
    <row r="147" spans="1:22" ht="12.75" customHeight="1" x14ac:dyDescent="0.25">
      <c r="A147" s="322">
        <v>14</v>
      </c>
      <c r="B147" s="322" t="s">
        <v>230</v>
      </c>
      <c r="C147" s="322">
        <v>17</v>
      </c>
      <c r="D147" s="323" t="s">
        <v>425</v>
      </c>
      <c r="F147" s="322">
        <v>2013</v>
      </c>
      <c r="G147" s="323" t="s">
        <v>360</v>
      </c>
      <c r="H147" s="322" t="s">
        <v>280</v>
      </c>
      <c r="K147" s="322" t="s">
        <v>238</v>
      </c>
      <c r="L147" s="322">
        <v>2043</v>
      </c>
      <c r="R147" s="743">
        <f>'MoT Travel Input'!I21</f>
        <v>5922500</v>
      </c>
      <c r="U147" s="442">
        <v>42583</v>
      </c>
      <c r="V147" s="323" t="s">
        <v>364</v>
      </c>
    </row>
    <row r="148" spans="1:22" ht="12.75" customHeight="1" x14ac:dyDescent="0.25">
      <c r="V148" s="323"/>
    </row>
    <row r="149" spans="1:22" ht="12.75" customHeight="1" x14ac:dyDescent="0.25"/>
    <row r="150" spans="1:22" ht="12.75" customHeight="1" x14ac:dyDescent="0.25"/>
    <row r="151" spans="1:22" ht="12.75" customHeight="1" x14ac:dyDescent="0.25"/>
    <row r="152" spans="1:22" ht="12.75" customHeight="1" x14ac:dyDescent="0.25"/>
    <row r="153" spans="1:22" ht="12.75" customHeight="1" x14ac:dyDescent="0.25"/>
    <row r="154" spans="1:22" ht="12.75" customHeight="1" x14ac:dyDescent="0.25"/>
    <row r="155" spans="1:22" ht="12.75" customHeight="1" x14ac:dyDescent="0.25"/>
    <row r="156" spans="1:22" ht="12.75" customHeight="1" x14ac:dyDescent="0.25"/>
    <row r="157" spans="1:22" ht="12.75" customHeight="1" x14ac:dyDescent="0.25"/>
    <row r="158" spans="1:22" ht="12.75" customHeight="1" x14ac:dyDescent="0.25"/>
    <row r="159" spans="1:22" ht="12.75" customHeight="1" x14ac:dyDescent="0.25"/>
    <row r="160" spans="1:22"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sheetData>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workbookViewId="0">
      <selection activeCell="L37" sqref="L37"/>
    </sheetView>
  </sheetViews>
  <sheetFormatPr defaultColWidth="8.81640625" defaultRowHeight="12.5" x14ac:dyDescent="0.25"/>
  <cols>
    <col min="1" max="1" width="24.7265625" customWidth="1"/>
    <col min="2" max="3" width="8.453125" customWidth="1"/>
    <col min="4" max="4" width="6.1796875" customWidth="1"/>
    <col min="5" max="6" width="5.7265625" customWidth="1"/>
    <col min="7" max="7" width="7.26953125" customWidth="1"/>
    <col min="8" max="8" width="6.453125" customWidth="1"/>
    <col min="9" max="10" width="5.7265625" customWidth="1"/>
    <col min="11" max="14" width="5.7265625" style="545" customWidth="1"/>
    <col min="15" max="15" width="6.7265625" customWidth="1"/>
    <col min="16" max="16" width="6.1796875" customWidth="1"/>
    <col min="17" max="19" width="5.7265625" customWidth="1"/>
    <col min="21" max="34" width="5.7265625" customWidth="1"/>
    <col min="35" max="35" width="7.26953125" customWidth="1"/>
  </cols>
  <sheetData>
    <row r="1" spans="1:35" x14ac:dyDescent="0.25">
      <c r="A1" s="130"/>
      <c r="B1" s="130"/>
      <c r="C1" s="130"/>
      <c r="D1" s="130"/>
      <c r="E1" s="130"/>
      <c r="F1" s="130"/>
      <c r="G1" s="130"/>
      <c r="H1" s="130"/>
      <c r="I1" s="130"/>
      <c r="J1" s="130"/>
      <c r="K1" s="323"/>
      <c r="L1" s="323"/>
      <c r="M1" s="323"/>
      <c r="N1" s="323"/>
      <c r="O1" s="130"/>
      <c r="P1" s="130"/>
      <c r="Q1" s="130"/>
      <c r="R1" s="130"/>
    </row>
    <row r="2" spans="1:35" ht="13.4" customHeight="1" x14ac:dyDescent="0.25">
      <c r="A2" s="882" t="s">
        <v>118</v>
      </c>
      <c r="B2" s="883"/>
      <c r="C2" s="883"/>
      <c r="D2" s="883"/>
      <c r="E2" s="883"/>
      <c r="F2" s="883"/>
      <c r="G2" s="883"/>
      <c r="H2" s="883"/>
      <c r="I2" s="883"/>
      <c r="J2" s="883"/>
      <c r="K2" s="883"/>
      <c r="L2" s="883"/>
      <c r="M2" s="883"/>
      <c r="N2" s="883"/>
      <c r="O2" s="883"/>
      <c r="P2" s="883"/>
      <c r="Q2" s="883"/>
      <c r="R2" s="884"/>
    </row>
    <row r="3" spans="1:35" ht="28.4" customHeight="1" x14ac:dyDescent="0.25">
      <c r="A3" s="885"/>
      <c r="B3" s="886"/>
      <c r="C3" s="886"/>
      <c r="D3" s="886"/>
      <c r="E3" s="886"/>
      <c r="F3" s="886"/>
      <c r="G3" s="886"/>
      <c r="H3" s="886"/>
      <c r="I3" s="886"/>
      <c r="J3" s="886"/>
      <c r="K3" s="886"/>
      <c r="L3" s="886"/>
      <c r="M3" s="886"/>
      <c r="N3" s="886"/>
      <c r="O3" s="886"/>
      <c r="P3" s="886"/>
      <c r="Q3" s="886"/>
      <c r="R3" s="887"/>
      <c r="U3" s="879" t="s">
        <v>117</v>
      </c>
      <c r="V3" s="879"/>
      <c r="W3" s="879"/>
      <c r="X3" s="879"/>
      <c r="Y3" s="879"/>
      <c r="Z3" s="879"/>
      <c r="AA3" s="879"/>
      <c r="AB3" s="879"/>
      <c r="AC3" s="879"/>
      <c r="AD3" s="879"/>
      <c r="AE3" s="879"/>
      <c r="AF3" s="879"/>
      <c r="AG3" s="879"/>
      <c r="AH3" s="879"/>
      <c r="AI3" s="879"/>
    </row>
    <row r="4" spans="1:35" ht="41.25" customHeight="1" thickBot="1" x14ac:dyDescent="0.4">
      <c r="A4" s="131"/>
      <c r="B4" s="131"/>
      <c r="C4" s="888" t="str">
        <f>'Visions person'!C4:D4</f>
        <v>Baseline 2013 (0)</v>
      </c>
      <c r="D4" s="889"/>
      <c r="E4" s="888" t="str">
        <f>'Visions person'!E4:F4</f>
        <v>Base case 2043 (1)</v>
      </c>
      <c r="F4" s="889"/>
      <c r="G4" s="888" t="str">
        <f>'Visions person'!G4:H4</f>
        <v>Scenario A: staying close to the action (2)</v>
      </c>
      <c r="H4" s="889"/>
      <c r="I4" s="888" t="str">
        <f>'Visions person'!I4:J4</f>
        <v>Scenario B: metro-connected (3)</v>
      </c>
      <c r="J4" s="889"/>
      <c r="K4" s="888" t="str">
        <f>'Visions person'!K4:L4</f>
        <v>Scenario C: the golden triangle (4)</v>
      </c>
      <c r="L4" s="889"/>
      <c r="M4" s="888" t="str">
        <f>'Visions person'!M4:N4</f>
        <v>Scenario D: @home in town and country (5)</v>
      </c>
      <c r="N4" s="889"/>
      <c r="O4" s="891" t="str">
        <f>'Visions person'!O4:P4</f>
        <v>What if (6)</v>
      </c>
      <c r="P4" s="892"/>
      <c r="Q4" s="890" t="s">
        <v>61</v>
      </c>
      <c r="R4" s="890"/>
      <c r="U4" s="837"/>
      <c r="V4" s="837"/>
      <c r="W4" s="837"/>
      <c r="X4" s="837"/>
      <c r="Y4" s="837"/>
      <c r="Z4" s="837"/>
      <c r="AA4" s="837"/>
      <c r="AB4" s="837"/>
      <c r="AC4" s="837"/>
      <c r="AD4" s="837"/>
      <c r="AE4" s="837"/>
      <c r="AF4" s="837"/>
      <c r="AG4" s="837"/>
      <c r="AH4" s="837"/>
      <c r="AI4" s="837"/>
    </row>
    <row r="5" spans="1:35" s="322" customFormat="1" ht="13.5" customHeight="1" thickBot="1" x14ac:dyDescent="0.4">
      <c r="A5" s="131"/>
      <c r="B5" s="131"/>
      <c r="C5" s="875" t="str">
        <f>'Visions person'!C5:D5</f>
        <v>Base2013</v>
      </c>
      <c r="D5" s="876"/>
      <c r="E5" s="875" t="str">
        <f>'Visions person'!E5:F5</f>
        <v>Scen1</v>
      </c>
      <c r="F5" s="876"/>
      <c r="G5" s="875" t="str">
        <f>'Visions person'!G5:H5</f>
        <v>Scen2</v>
      </c>
      <c r="H5" s="876"/>
      <c r="I5" s="875" t="str">
        <f>'Visions person'!I5:J5</f>
        <v>Scen3</v>
      </c>
      <c r="J5" s="876"/>
      <c r="K5" s="875" t="str">
        <f>'Visions person'!K5:L5</f>
        <v>Scen4</v>
      </c>
      <c r="L5" s="876"/>
      <c r="M5" s="875" t="str">
        <f>'Visions person'!M5:N5</f>
        <v>Scen5</v>
      </c>
      <c r="N5" s="876"/>
      <c r="O5" s="129"/>
      <c r="P5" s="129"/>
      <c r="Q5" s="409"/>
      <c r="R5" s="409"/>
      <c r="U5" s="408"/>
      <c r="V5" s="408"/>
      <c r="W5" s="408"/>
      <c r="X5" s="408"/>
      <c r="Y5" s="408"/>
      <c r="Z5" s="408"/>
      <c r="AA5" s="408"/>
      <c r="AB5" s="408"/>
      <c r="AC5" s="408"/>
      <c r="AD5" s="408"/>
      <c r="AE5" s="408"/>
      <c r="AF5" s="408"/>
      <c r="AG5" s="408"/>
      <c r="AH5" s="408"/>
      <c r="AI5" s="408"/>
    </row>
    <row r="6" spans="1:35" ht="14.15" customHeight="1" x14ac:dyDescent="0.3">
      <c r="A6" s="131"/>
      <c r="B6" s="131" t="s">
        <v>119</v>
      </c>
      <c r="C6" s="131" t="s">
        <v>25</v>
      </c>
      <c r="D6" s="131" t="s">
        <v>26</v>
      </c>
      <c r="E6" s="131" t="s">
        <v>25</v>
      </c>
      <c r="F6" s="131" t="s">
        <v>26</v>
      </c>
      <c r="G6" s="131" t="s">
        <v>25</v>
      </c>
      <c r="H6" s="131" t="s">
        <v>26</v>
      </c>
      <c r="I6" s="131" t="s">
        <v>25</v>
      </c>
      <c r="J6" s="131" t="s">
        <v>26</v>
      </c>
      <c r="K6" s="131" t="s">
        <v>25</v>
      </c>
      <c r="L6" s="131" t="s">
        <v>26</v>
      </c>
      <c r="M6" s="131" t="s">
        <v>25</v>
      </c>
      <c r="N6" s="131" t="s">
        <v>26</v>
      </c>
      <c r="O6" s="129" t="s">
        <v>25</v>
      </c>
      <c r="P6" s="129" t="s">
        <v>26</v>
      </c>
      <c r="Q6" s="132" t="s">
        <v>25</v>
      </c>
      <c r="R6" s="132" t="s">
        <v>26</v>
      </c>
      <c r="U6" s="113"/>
      <c r="V6" s="877" t="s">
        <v>71</v>
      </c>
      <c r="W6" s="878"/>
      <c r="X6" s="877" t="s">
        <v>69</v>
      </c>
      <c r="Y6" s="878"/>
      <c r="Z6" s="880" t="s">
        <v>147</v>
      </c>
      <c r="AA6" s="881"/>
      <c r="AB6" s="877" t="s">
        <v>29</v>
      </c>
      <c r="AC6" s="878"/>
      <c r="AD6" s="877" t="s">
        <v>31</v>
      </c>
      <c r="AE6" s="878"/>
      <c r="AF6" s="877" t="s">
        <v>32</v>
      </c>
      <c r="AG6" s="878"/>
      <c r="AH6" s="877" t="s">
        <v>146</v>
      </c>
      <c r="AI6" s="878"/>
    </row>
    <row r="7" spans="1:35" ht="41.5" customHeight="1" x14ac:dyDescent="0.3">
      <c r="A7" s="133" t="s">
        <v>249</v>
      </c>
      <c r="B7" s="134" t="s">
        <v>196</v>
      </c>
      <c r="C7" s="296">
        <f>'Calibration Data'!R33</f>
        <v>0.73421897311853945</v>
      </c>
      <c r="D7" s="296">
        <f>'Calibration Data'!R25</f>
        <v>0.36039890357545301</v>
      </c>
      <c r="E7" s="296">
        <f>IF('user page'!$R$40=1,VLOOKUP($E$5&amp;"_"&amp;2&amp;"_"&amp;$A$7&amp;"__"&amp;$B7&amp;"_"&amp;E$6,'Scenario Data'!$A$2:$V$12509,21,FALSE),C7)</f>
        <v>0.73421897311853945</v>
      </c>
      <c r="F7" s="296">
        <f>IF('user page'!$R$40=1,VLOOKUP($E$5&amp;"_"&amp;2&amp;"_"&amp;$A$7&amp;"__"&amp;$B7&amp;"_"&amp;F$6,'Scenario Data'!$A$2:$V$12509,21,FALSE),D7)</f>
        <v>0.36039890357545301</v>
      </c>
      <c r="G7" s="296">
        <f>IF('user page'!$R$40=1,VLOOKUP($G$5&amp;"_"&amp;2&amp;"_"&amp;$A$7&amp;"__"&amp;$B7&amp;"_"&amp;G$6,'Scenario Data'!$A$2:$V$12509,21,FALSE),C7)</f>
        <v>0.73421897311853945</v>
      </c>
      <c r="H7" s="296">
        <f>IF('user page'!$R$40=1,VLOOKUP($G$5&amp;"_"&amp;2&amp;"_"&amp;$A$7&amp;"__"&amp;$B7&amp;"_"&amp;H$6,'Scenario Data'!$A$2:$V$12509,21,FALSE),D7)</f>
        <v>0.36039890357545301</v>
      </c>
      <c r="I7" s="296">
        <f>IF('user page'!$R$40=1,VLOOKUP($I$5&amp;"_"&amp;2&amp;"_"&amp;$A$7&amp;"__"&amp;$B7&amp;"_"&amp;I$6,'Scenario Data'!$A$2:$V$12509,21,FALSE),$C7)</f>
        <v>0.73421897311853945</v>
      </c>
      <c r="J7" s="296">
        <f>IF('user page'!$R$40=1,VLOOKUP($I$5&amp;"_"&amp;2&amp;"_"&amp;$A$7&amp;"__"&amp;$B7&amp;"_"&amp;J$6,'Scenario Data'!$A$2:$V$12509,21,FALSE),$D7)</f>
        <v>0.36039890357545301</v>
      </c>
      <c r="K7" s="296">
        <f>IF('user page'!$R$40=1,VLOOKUP($I$5&amp;"_"&amp;2&amp;"_"&amp;$A$7&amp;"__"&amp;$B7&amp;"_"&amp;K$6,'Scenario Data'!$A$2:$V$12509,21,FALSE),$C7)</f>
        <v>0.73421897311853945</v>
      </c>
      <c r="L7" s="296">
        <f>IF('user page'!$R$40=1,VLOOKUP($I$5&amp;"_"&amp;2&amp;"_"&amp;$A$7&amp;"__"&amp;$B7&amp;"_"&amp;L$6,'Scenario Data'!$A$2:$V$12509,21,FALSE),$D7)</f>
        <v>0.36039890357545301</v>
      </c>
      <c r="M7" s="296">
        <f>IF('user page'!$R$40=1,VLOOKUP($I$5&amp;"_"&amp;2&amp;"_"&amp;$A$7&amp;"__"&amp;$B7&amp;"_"&amp;M$6,'Scenario Data'!$A$2:$V$12509,21,FALSE),$C7)</f>
        <v>0.73421897311853945</v>
      </c>
      <c r="N7" s="296">
        <f>IF('user page'!$R$40=1,VLOOKUP($I$5&amp;"_"&amp;2&amp;"_"&amp;$A$7&amp;"__"&amp;$B7&amp;"_"&amp;N$6,'Scenario Data'!$A$2:$V$12509,21,FALSE),$D7)</f>
        <v>0.36039890357545301</v>
      </c>
      <c r="O7" s="734">
        <f>C7</f>
        <v>0.73421897311853945</v>
      </c>
      <c r="P7" s="734">
        <f>D7</f>
        <v>0.36039890357545301</v>
      </c>
      <c r="Q7" s="404">
        <f>IF(('user page'!$Y$1=0),C7,IF(('user page'!$Y$1=1),E7,IF(('user page'!$Y$1=2),G7,IF(('user page'!$Y$1=3),I7,IF(('user page'!$Y$1=4),K7,IF(('user page'!$Y$1=5),M7,IF(('user page'!$Y$1=6),O7,"")))))))</f>
        <v>0.73421897311853945</v>
      </c>
      <c r="R7" s="404">
        <f>IF(('user page'!$Y$1=0),D7,IF(('user page'!$Y$1=1),F7,IF(('user page'!$Y$1=2),H7,IF(('user page'!$Y$1=3),J7,IF(('user page'!$Y$1=4),L7,IF(('user page'!$Y$1=5),N7,IF(('user page'!$Y$1=6),P7,"")))))))</f>
        <v>0.36039890357545301</v>
      </c>
      <c r="U7" s="113"/>
      <c r="V7" s="117" t="str">
        <f>'user page'!U7</f>
        <v>m</v>
      </c>
      <c r="W7" s="117" t="str">
        <f>'user page'!V7</f>
        <v>f</v>
      </c>
      <c r="X7" s="117" t="str">
        <f>'user page'!W7</f>
        <v>m</v>
      </c>
      <c r="Y7" s="117" t="str">
        <f>'user page'!X7</f>
        <v>f</v>
      </c>
      <c r="Z7" s="117" t="str">
        <f>'user page'!Y7</f>
        <v>m</v>
      </c>
      <c r="AA7" s="117" t="str">
        <f>'user page'!Z7</f>
        <v>f</v>
      </c>
      <c r="AB7" s="117" t="str">
        <f>'user page'!AA7</f>
        <v>m</v>
      </c>
      <c r="AC7" s="117" t="str">
        <f>'user page'!AB7</f>
        <v>f</v>
      </c>
      <c r="AD7" s="117" t="str">
        <f>'user page'!AC7</f>
        <v>m</v>
      </c>
      <c r="AE7" s="117" t="str">
        <f>'user page'!AD7</f>
        <v>f</v>
      </c>
      <c r="AF7" s="117" t="str">
        <f>'user page'!AE7</f>
        <v>m</v>
      </c>
      <c r="AG7" s="117" t="str">
        <f>'user page'!AF7</f>
        <v>f</v>
      </c>
      <c r="AH7" s="117" t="str">
        <f>'user page'!AG7</f>
        <v>m</v>
      </c>
      <c r="AI7" s="117" t="str">
        <f>'user page'!AH7</f>
        <v>f</v>
      </c>
    </row>
    <row r="8" spans="1:35" ht="13" x14ac:dyDescent="0.3">
      <c r="A8" s="133"/>
      <c r="B8" s="456" t="s">
        <v>191</v>
      </c>
      <c r="C8" s="296">
        <f>'Calibration Data'!R34</f>
        <v>1.1056732402973335</v>
      </c>
      <c r="D8" s="296">
        <f>'Calibration Data'!R26</f>
        <v>1.0936509173598967</v>
      </c>
      <c r="E8" s="296">
        <f>IF('user page'!$R$40=1,VLOOKUP($E$5&amp;"_"&amp;2&amp;"_"&amp;$A$7&amp;"__"&amp;$B8&amp;"_"&amp;E$6,'Scenario Data'!$A$2:$V$12509,21,FALSE),C8)</f>
        <v>1.1056732402973335</v>
      </c>
      <c r="F8" s="296">
        <f>IF('user page'!$R$40=1,VLOOKUP($E$5&amp;"_"&amp;2&amp;"_"&amp;$A$7&amp;"__"&amp;$B8&amp;"_"&amp;F$6,'Scenario Data'!$A$2:$V$12509,21,FALSE),D8)</f>
        <v>1.0936509173598967</v>
      </c>
      <c r="G8" s="296">
        <f>IF('user page'!$R$40=1,VLOOKUP($G$5&amp;"_"&amp;2&amp;"_"&amp;$A$7&amp;"__"&amp;$B8&amp;"_"&amp;G$6,'Scenario Data'!$A$2:$V$12509,21,FALSE),C8)</f>
        <v>1.1056732402973335</v>
      </c>
      <c r="H8" s="296">
        <f>IF('user page'!$R$40=1,VLOOKUP($G$5&amp;"_"&amp;2&amp;"_"&amp;$A$7&amp;"__"&amp;$B8&amp;"_"&amp;H$6,'Scenario Data'!$A$2:$V$12509,21,FALSE),D8)</f>
        <v>1.0936509173598967</v>
      </c>
      <c r="I8" s="296">
        <f>IF('user page'!$R$40=1,VLOOKUP($I$5&amp;"_"&amp;2&amp;"_"&amp;$A$7&amp;"__"&amp;$B8&amp;"_"&amp;I$6,'Scenario Data'!$A$2:$V$12509,21,FALSE),C8)</f>
        <v>1.1056732402973335</v>
      </c>
      <c r="J8" s="296">
        <f>IF('user page'!$R$40=1,VLOOKUP($I$5&amp;"_"&amp;2&amp;"_"&amp;$A$7&amp;"__"&amp;$B8&amp;"_"&amp;J$6,'Scenario Data'!$A$2:$V$12509,21,FALSE),$D8)</f>
        <v>1.0936509173598967</v>
      </c>
      <c r="K8" s="296">
        <f>IF('user page'!$R$40=1,VLOOKUP($I$5&amp;"_"&amp;2&amp;"_"&amp;$A$7&amp;"__"&amp;$B8&amp;"_"&amp;K$6,'Scenario Data'!$A$2:$V$12509,21,FALSE),$C8)</f>
        <v>1.1056732402973335</v>
      </c>
      <c r="L8" s="296">
        <f>IF('user page'!$R$40=1,VLOOKUP($I$5&amp;"_"&amp;2&amp;"_"&amp;$A$7&amp;"__"&amp;$B8&amp;"_"&amp;L$6,'Scenario Data'!$A$2:$V$12509,21,FALSE),$D8)</f>
        <v>1.0936509173598967</v>
      </c>
      <c r="M8" s="296">
        <f>IF('user page'!$R$40=1,VLOOKUP($I$5&amp;"_"&amp;2&amp;"_"&amp;$A$7&amp;"__"&amp;$B8&amp;"_"&amp;M$6,'Scenario Data'!$A$2:$V$12509,21,FALSE),$C8)</f>
        <v>1.1056732402973335</v>
      </c>
      <c r="N8" s="296">
        <f>IF('user page'!$R$40=1,VLOOKUP($I$5&amp;"_"&amp;2&amp;"_"&amp;$A$7&amp;"__"&amp;$B8&amp;"_"&amp;N$6,'Scenario Data'!$A$2:$V$12509,21,FALSE),$D8)</f>
        <v>1.0936509173598967</v>
      </c>
      <c r="O8" s="734">
        <f t="shared" ref="O8:P16" si="0">C8</f>
        <v>1.1056732402973335</v>
      </c>
      <c r="P8" s="734">
        <f t="shared" ref="P8:P14" si="1">D8</f>
        <v>1.0936509173598967</v>
      </c>
      <c r="Q8" s="404">
        <f>IF(('user page'!$Y$1=0),C8,IF(('user page'!$Y$1=1),E8,IF(('user page'!$Y$1=2),G8,IF(('user page'!$Y$1=3),I8,IF(('user page'!$Y$1=4),K8,IF(('user page'!$Y$1=5),M8,IF(('user page'!$Y$1=6),O8,"")))))))</f>
        <v>1.1056732402973335</v>
      </c>
      <c r="R8" s="404">
        <f>IF(('user page'!$Y$1=0),D8,IF(('user page'!$Y$1=1),F8,IF(('user page'!$Y$1=2),H8,IF(('user page'!$Y$1=3),J8,IF(('user page'!$Y$1=4),L8,IF(('user page'!$Y$1=5),N8,IF(('user page'!$Y$1=6),P8,"")))))))</f>
        <v>1.0936509173598967</v>
      </c>
      <c r="U8" s="113" t="str">
        <f>'user page'!T8</f>
        <v>15-29</v>
      </c>
      <c r="V8" s="117">
        <f>'user page'!U8</f>
        <v>0</v>
      </c>
      <c r="W8" s="117">
        <f>'user page'!V8</f>
        <v>3.5093128429730669E-4</v>
      </c>
      <c r="X8" s="117">
        <f>'user page'!W8</f>
        <v>3.8444983009755518E-4</v>
      </c>
      <c r="Y8" s="117">
        <f>'user page'!X8</f>
        <v>3.5502479749505156E-4</v>
      </c>
      <c r="Z8" s="117">
        <f>'user page'!Y8</f>
        <v>1.2624560306744304E-3</v>
      </c>
      <c r="AA8" s="117">
        <f>'user page'!Z8</f>
        <v>1.5820674173621097E-3</v>
      </c>
      <c r="AB8" s="117">
        <f>'user page'!AA8</f>
        <v>2.1322722588568155E-4</v>
      </c>
      <c r="AC8" s="117">
        <f>'user page'!AB8</f>
        <v>2.8912496087496464E-4</v>
      </c>
      <c r="AD8" s="117">
        <f>'user page'!AC8</f>
        <v>5.6135434808046725E-4</v>
      </c>
      <c r="AE8" s="117">
        <f>'user page'!AD8</f>
        <v>7.3728056098798511E-4</v>
      </c>
      <c r="AF8" s="117">
        <f>'user page'!AE8</f>
        <v>1.1754791617142324E-3</v>
      </c>
      <c r="AG8" s="117">
        <f>'user page'!AF8</f>
        <v>1.4729522614909119E-3</v>
      </c>
      <c r="AH8" s="117">
        <f>'user page'!AG8</f>
        <v>1.2624560306744304E-3</v>
      </c>
      <c r="AI8" s="117">
        <f>'user page'!AH8</f>
        <v>1.5820674173621097E-3</v>
      </c>
    </row>
    <row r="9" spans="1:35" ht="13" x14ac:dyDescent="0.3">
      <c r="A9" s="133"/>
      <c r="B9" s="134" t="s">
        <v>4</v>
      </c>
      <c r="C9" s="296">
        <f>'Calibration Data'!R35</f>
        <v>0.91417563862305196</v>
      </c>
      <c r="D9" s="296">
        <f>'Calibration Data'!R27</f>
        <v>1</v>
      </c>
      <c r="E9" s="296">
        <f>IF('user page'!$R$40=1,VLOOKUP($E$5&amp;"_"&amp;2&amp;"_"&amp;$A$7&amp;"__"&amp;$B9&amp;"_"&amp;E$6,'Scenario Data'!$A$2:$V$12509,21,FALSE),C9)</f>
        <v>0.91417563862305196</v>
      </c>
      <c r="F9" s="296">
        <f>IF('user page'!$R$40=1,VLOOKUP($E$5&amp;"_"&amp;2&amp;"_"&amp;$A$7&amp;"__"&amp;$B9&amp;"_"&amp;F$6,'Scenario Data'!$A$2:$V$12509,21,FALSE),D9)</f>
        <v>1</v>
      </c>
      <c r="G9" s="296">
        <f>IF('user page'!$R$40=1,VLOOKUP($G$5&amp;"_"&amp;2&amp;"_"&amp;$A$7&amp;"__"&amp;$B9&amp;"_"&amp;G$6,'Scenario Data'!$A$2:$V$12509,21,FALSE),C9)</f>
        <v>0.91417563862305196</v>
      </c>
      <c r="H9" s="296">
        <f>IF('user page'!$R$40=1,VLOOKUP($G$5&amp;"_"&amp;2&amp;"_"&amp;$A$7&amp;"__"&amp;$B9&amp;"_"&amp;H$6,'Scenario Data'!$A$2:$V$12509,21,FALSE),D9)</f>
        <v>1</v>
      </c>
      <c r="I9" s="296">
        <f>IF('user page'!$R$40=1,VLOOKUP($I$5&amp;"_"&amp;2&amp;"_"&amp;$A$7&amp;"__"&amp;$B9&amp;"_"&amp;I$6,'Scenario Data'!$A$2:$V$12509,21,FALSE),C9)</f>
        <v>0.91417563862305196</v>
      </c>
      <c r="J9" s="296">
        <f>IF('user page'!$R$40=1,VLOOKUP($I$5&amp;"_"&amp;2&amp;"_"&amp;$A$7&amp;"__"&amp;$B9&amp;"_"&amp;J$6,'Scenario Data'!$A$2:$V$12509,21,FALSE),$D9)</f>
        <v>1</v>
      </c>
      <c r="K9" s="296">
        <f>IF('user page'!$R$40=1,VLOOKUP($I$5&amp;"_"&amp;2&amp;"_"&amp;$A$7&amp;"__"&amp;$B9&amp;"_"&amp;K$6,'Scenario Data'!$A$2:$V$12509,21,FALSE),$C9)</f>
        <v>0.91417563862305196</v>
      </c>
      <c r="L9" s="296">
        <f>IF('user page'!$R$40=1,VLOOKUP($I$5&amp;"_"&amp;2&amp;"_"&amp;$A$7&amp;"__"&amp;$B9&amp;"_"&amp;L$6,'Scenario Data'!$A$2:$V$12509,21,FALSE),$D9)</f>
        <v>1</v>
      </c>
      <c r="M9" s="296">
        <f>IF('user page'!$R$40=1,VLOOKUP($I$5&amp;"_"&amp;2&amp;"_"&amp;$A$7&amp;"__"&amp;$B9&amp;"_"&amp;M$6,'Scenario Data'!$A$2:$V$12509,21,FALSE),$C9)</f>
        <v>0.91417563862305196</v>
      </c>
      <c r="N9" s="296">
        <f>IF('user page'!$R$40=1,VLOOKUP($I$5&amp;"_"&amp;2&amp;"_"&amp;$A$7&amp;"__"&amp;$B9&amp;"_"&amp;N$6,'Scenario Data'!$A$2:$V$12509,21,FALSE),$D9)</f>
        <v>1</v>
      </c>
      <c r="O9" s="734">
        <f t="shared" si="0"/>
        <v>0.91417563862305196</v>
      </c>
      <c r="P9" s="734">
        <f t="shared" si="1"/>
        <v>1</v>
      </c>
      <c r="Q9" s="404">
        <f>IF(('user page'!$Y$1=0),C9,IF(('user page'!$Y$1=1),E9,IF(('user page'!$Y$1=2),G9,IF(('user page'!$Y$1=3),I9,IF(('user page'!$Y$1=4),K9,IF(('user page'!$Y$1=5),M9,IF(('user page'!$Y$1=6),O9,"")))))))</f>
        <v>0.91417563862305196</v>
      </c>
      <c r="R9" s="404">
        <f>IF(('user page'!$Y$1=0),D9,IF(('user page'!$Y$1=1),F9,IF(('user page'!$Y$1=2),H9,IF(('user page'!$Y$1=3),J9,IF(('user page'!$Y$1=4),L9,IF(('user page'!$Y$1=5),N9,IF(('user page'!$Y$1=6),P9,"")))))))</f>
        <v>1</v>
      </c>
      <c r="U9" s="116" t="str">
        <f>'user page'!T9</f>
        <v>30-44</v>
      </c>
      <c r="V9" s="117">
        <f>'user page'!U9</f>
        <v>0</v>
      </c>
      <c r="W9" s="117">
        <f>'user page'!V9</f>
        <v>2.5099114487980856E-4</v>
      </c>
      <c r="X9" s="117">
        <f>'user page'!W9</f>
        <v>1.5390271377579978E-4</v>
      </c>
      <c r="Y9" s="117">
        <f>'user page'!X9</f>
        <v>2.5396653954667947E-4</v>
      </c>
      <c r="Z9" s="117">
        <f>'user page'!Y9</f>
        <v>3.860908991619727E-4</v>
      </c>
      <c r="AA9" s="117">
        <f>'user page'!Z9</f>
        <v>1.7133614810808107E-2</v>
      </c>
      <c r="AB9" s="117">
        <f>'user page'!AA9</f>
        <v>1.7302834884969087E-4</v>
      </c>
      <c r="AC9" s="117">
        <f>'user page'!AB9</f>
        <v>4.1507416965314015E-4</v>
      </c>
      <c r="AD9" s="117">
        <f>'user page'!AC9</f>
        <v>2.2497537382548671E-4</v>
      </c>
      <c r="AE9" s="117">
        <f>'user page'!AD9</f>
        <v>5.3713216039508183E-4</v>
      </c>
      <c r="AF9" s="117">
        <f>'user page'!AE9</f>
        <v>3.5989241148404183E-4</v>
      </c>
      <c r="AG9" s="117">
        <f>'user page'!AF9</f>
        <v>1.5862054740778841E-2</v>
      </c>
      <c r="AH9" s="117">
        <f>'user page'!AG9</f>
        <v>3.860908991619727E-4</v>
      </c>
      <c r="AI9" s="117">
        <f>'user page'!AH9</f>
        <v>1.7133614810808107E-2</v>
      </c>
    </row>
    <row r="10" spans="1:35" ht="13" x14ac:dyDescent="0.3">
      <c r="A10" s="133"/>
      <c r="B10" s="134" t="s">
        <v>5</v>
      </c>
      <c r="C10" s="296">
        <f>'Calibration Data'!R36</f>
        <v>0.4966244044375544</v>
      </c>
      <c r="D10" s="296">
        <f>'Calibration Data'!R28</f>
        <v>0.78316334599237769</v>
      </c>
      <c r="E10" s="296">
        <f>IF('user page'!$R$40=1,VLOOKUP($E$5&amp;"_"&amp;2&amp;"_"&amp;$A$7&amp;"__"&amp;$B10&amp;"_"&amp;E$6,'Scenario Data'!$A$2:$V$12509,21,FALSE),C10)</f>
        <v>0.4966244044375544</v>
      </c>
      <c r="F10" s="296">
        <f>IF('user page'!$R$40=1,VLOOKUP($E$5&amp;"_"&amp;2&amp;"_"&amp;$A$7&amp;"__"&amp;$B10&amp;"_"&amp;F$6,'Scenario Data'!$A$2:$V$12509,21,FALSE),D10)</f>
        <v>0.78316334599237769</v>
      </c>
      <c r="G10" s="296">
        <f>IF('user page'!$R$40=1,VLOOKUP($G$5&amp;"_"&amp;2&amp;"_"&amp;$A$7&amp;"__"&amp;$B10&amp;"_"&amp;G$6,'Scenario Data'!$A$2:$V$12509,21,FALSE),C10)</f>
        <v>0.4966244044375544</v>
      </c>
      <c r="H10" s="296">
        <f>IF('user page'!$R$40=1,VLOOKUP($G$5&amp;"_"&amp;2&amp;"_"&amp;$A$7&amp;"__"&amp;$B10&amp;"_"&amp;H$6,'Scenario Data'!$A$2:$V$12509,21,FALSE),D10)</f>
        <v>0.78316334599237769</v>
      </c>
      <c r="I10" s="296">
        <f>IF('user page'!$R$40=1,VLOOKUP($I$5&amp;"_"&amp;2&amp;"_"&amp;$A$7&amp;"__"&amp;$B10&amp;"_"&amp;I$6,'Scenario Data'!$A$2:$V$12509,21,FALSE),C10)</f>
        <v>0.4966244044375544</v>
      </c>
      <c r="J10" s="296">
        <f>IF('user page'!$R$40=1,VLOOKUP($I$5&amp;"_"&amp;2&amp;"_"&amp;$A$7&amp;"__"&amp;$B10&amp;"_"&amp;J$6,'Scenario Data'!$A$2:$V$12509,21,FALSE),$D10)</f>
        <v>0.78316334599237769</v>
      </c>
      <c r="K10" s="296">
        <f>IF('user page'!$R$40=1,VLOOKUP($I$5&amp;"_"&amp;2&amp;"_"&amp;$A$7&amp;"__"&amp;$B10&amp;"_"&amp;K$6,'Scenario Data'!$A$2:$V$12509,21,FALSE),$C10)</f>
        <v>0.4966244044375544</v>
      </c>
      <c r="L10" s="296">
        <f>IF('user page'!$R$40=1,VLOOKUP($I$5&amp;"_"&amp;2&amp;"_"&amp;$A$7&amp;"__"&amp;$B10&amp;"_"&amp;L$6,'Scenario Data'!$A$2:$V$12509,21,FALSE),$D10)</f>
        <v>0.78316334599237769</v>
      </c>
      <c r="M10" s="296">
        <f>IF('user page'!$R$40=1,VLOOKUP($I$5&amp;"_"&amp;2&amp;"_"&amp;$A$7&amp;"__"&amp;$B10&amp;"_"&amp;M$6,'Scenario Data'!$A$2:$V$12509,21,FALSE),$C10)</f>
        <v>0.4966244044375544</v>
      </c>
      <c r="N10" s="296">
        <f>IF('user page'!$R$40=1,VLOOKUP($I$5&amp;"_"&amp;2&amp;"_"&amp;$A$7&amp;"__"&amp;$B10&amp;"_"&amp;N$6,'Scenario Data'!$A$2:$V$12509,21,FALSE),$D10)</f>
        <v>0.78316334599237769</v>
      </c>
      <c r="O10" s="734">
        <f t="shared" si="0"/>
        <v>0.4966244044375544</v>
      </c>
      <c r="P10" s="734">
        <f t="shared" si="1"/>
        <v>0.78316334599237769</v>
      </c>
      <c r="Q10" s="404">
        <f>IF(('user page'!$Y$1=0),C10,IF(('user page'!$Y$1=1),E10,IF(('user page'!$Y$1=2),G10,IF(('user page'!$Y$1=3),I10,IF(('user page'!$Y$1=4),K10,IF(('user page'!$Y$1=5),M10,IF(('user page'!$Y$1=6),O10,"")))))))</f>
        <v>0.4966244044375544</v>
      </c>
      <c r="R10" s="404">
        <f>IF(('user page'!$Y$1=0),D10,IF(('user page'!$Y$1=1),F10,IF(('user page'!$Y$1=2),H10,IF(('user page'!$Y$1=3),J10,IF(('user page'!$Y$1=4),L10,IF(('user page'!$Y$1=5),N10,IF(('user page'!$Y$1=6),P10,"")))))))</f>
        <v>0.78316334599237769</v>
      </c>
      <c r="U10" s="116" t="str">
        <f>'user page'!T10</f>
        <v>45-59</v>
      </c>
      <c r="V10" s="117">
        <f>'user page'!U10</f>
        <v>0</v>
      </c>
      <c r="W10" s="117">
        <f>'user page'!V10</f>
        <v>2.6887310040057955E-4</v>
      </c>
      <c r="X10" s="117">
        <f>'user page'!W10</f>
        <v>6.9860312761127474E-5</v>
      </c>
      <c r="Y10" s="117">
        <f>'user page'!X10</f>
        <v>2.7206798967505108E-4</v>
      </c>
      <c r="Z10" s="117">
        <f>'user page'!Y10</f>
        <v>2.2313846765209533E-4</v>
      </c>
      <c r="AA10" s="117">
        <f>'user page'!Z10</f>
        <v>1.2169761662024214E-3</v>
      </c>
      <c r="AB10" s="117">
        <f>'user page'!AA10</f>
        <v>7.8524555444658972E-5</v>
      </c>
      <c r="AC10" s="117">
        <f>'user page'!AB10</f>
        <v>4.4532585991730045E-4</v>
      </c>
      <c r="AD10" s="117">
        <f>'user page'!AC10</f>
        <v>1.0203872246727919E-4</v>
      </c>
      <c r="AE10" s="117">
        <f>'user page'!AD10</f>
        <v>5.7693834470340377E-4</v>
      </c>
      <c r="AF10" s="117">
        <f>'user page'!AE10</f>
        <v>2.0784910870563778E-4</v>
      </c>
      <c r="AG10" s="117">
        <f>'user page'!AF10</f>
        <v>1.1338386457151461E-3</v>
      </c>
      <c r="AH10" s="117">
        <f>'user page'!AG10</f>
        <v>2.2313846765209533E-4</v>
      </c>
      <c r="AI10" s="117">
        <f>'user page'!AH10</f>
        <v>1.2169761662024214E-3</v>
      </c>
    </row>
    <row r="11" spans="1:35" ht="13" x14ac:dyDescent="0.3">
      <c r="A11" s="133"/>
      <c r="B11" s="134" t="s">
        <v>6</v>
      </c>
      <c r="C11" s="296">
        <f>'Calibration Data'!R37</f>
        <v>0.72703050067204245</v>
      </c>
      <c r="D11" s="296">
        <f>'Calibration Data'!R29</f>
        <v>1.1154648696829688</v>
      </c>
      <c r="E11" s="296">
        <f>IF('user page'!$R$40=1,VLOOKUP($E$5&amp;"_"&amp;2&amp;"_"&amp;$A$7&amp;"__"&amp;$B11&amp;"_"&amp;E$6,'Scenario Data'!$A$2:$V$12509,21,FALSE),C11)</f>
        <v>0.72703050067204245</v>
      </c>
      <c r="F11" s="296">
        <f>IF('user page'!$R$40=1,VLOOKUP($E$5&amp;"_"&amp;2&amp;"_"&amp;$A$7&amp;"__"&amp;$B11&amp;"_"&amp;F$6,'Scenario Data'!$A$2:$V$12509,21,FALSE),D11)</f>
        <v>1.1154648696829688</v>
      </c>
      <c r="G11" s="296">
        <f>IF('user page'!$R$40=1,VLOOKUP($G$5&amp;"_"&amp;2&amp;"_"&amp;$A$7&amp;"__"&amp;$B11&amp;"_"&amp;G$6,'Scenario Data'!$A$2:$V$12509,21,FALSE),C11)</f>
        <v>0.72703050067204245</v>
      </c>
      <c r="H11" s="296">
        <f>IF('user page'!$R$40=1,VLOOKUP($G$5&amp;"_"&amp;2&amp;"_"&amp;$A$7&amp;"__"&amp;$B11&amp;"_"&amp;H$6,'Scenario Data'!$A$2:$V$12509,21,FALSE),D11)</f>
        <v>1.1154648696829688</v>
      </c>
      <c r="I11" s="296">
        <f>IF('user page'!$R$40=1,VLOOKUP($I$5&amp;"_"&amp;2&amp;"_"&amp;$A$7&amp;"__"&amp;$B11&amp;"_"&amp;I$6,'Scenario Data'!$A$2:$V$12509,21,FALSE),C11)</f>
        <v>0.72703050067204245</v>
      </c>
      <c r="J11" s="296">
        <f>IF('user page'!$R$40=1,VLOOKUP($I$5&amp;"_"&amp;2&amp;"_"&amp;$A$7&amp;"__"&amp;$B11&amp;"_"&amp;J$6,'Scenario Data'!$A$2:$V$12509,21,FALSE),$D11)</f>
        <v>1.1154648696829688</v>
      </c>
      <c r="K11" s="296">
        <f>IF('user page'!$R$40=1,VLOOKUP($I$5&amp;"_"&amp;2&amp;"_"&amp;$A$7&amp;"__"&amp;$B11&amp;"_"&amp;K$6,'Scenario Data'!$A$2:$V$12509,21,FALSE),$C11)</f>
        <v>0.72703050067204245</v>
      </c>
      <c r="L11" s="296">
        <f>IF('user page'!$R$40=1,VLOOKUP($I$5&amp;"_"&amp;2&amp;"_"&amp;$A$7&amp;"__"&amp;$B11&amp;"_"&amp;L$6,'Scenario Data'!$A$2:$V$12509,21,FALSE),$D11)</f>
        <v>1.1154648696829688</v>
      </c>
      <c r="M11" s="296">
        <f>IF('user page'!$R$40=1,VLOOKUP($I$5&amp;"_"&amp;2&amp;"_"&amp;$A$7&amp;"__"&amp;$B11&amp;"_"&amp;M$6,'Scenario Data'!$A$2:$V$12509,21,FALSE),$C11)</f>
        <v>0.72703050067204245</v>
      </c>
      <c r="N11" s="296">
        <f>IF('user page'!$R$40=1,VLOOKUP($I$5&amp;"_"&amp;2&amp;"_"&amp;$A$7&amp;"__"&amp;$B11&amp;"_"&amp;N$6,'Scenario Data'!$A$2:$V$12509,21,FALSE),$D11)</f>
        <v>1.1154648696829688</v>
      </c>
      <c r="O11" s="734">
        <f t="shared" si="0"/>
        <v>0.72703050067204245</v>
      </c>
      <c r="P11" s="734">
        <f t="shared" si="1"/>
        <v>1.1154648696829688</v>
      </c>
      <c r="Q11" s="404">
        <f>IF(('user page'!$Y$1=0),C11,IF(('user page'!$Y$1=1),E11,IF(('user page'!$Y$1=2),G11,IF(('user page'!$Y$1=3),I11,IF(('user page'!$Y$1=4),K11,IF(('user page'!$Y$1=5),M11,IF(('user page'!$Y$1=6),O11,"")))))))</f>
        <v>0.72703050067204245</v>
      </c>
      <c r="R11" s="404">
        <f>IF(('user page'!$Y$1=0),D11,IF(('user page'!$Y$1=1),F11,IF(('user page'!$Y$1=2),H11,IF(('user page'!$Y$1=3),J11,IF(('user page'!$Y$1=4),L11,IF(('user page'!$Y$1=5),N11,IF(('user page'!$Y$1=6),P11,"")))))))</f>
        <v>1.1154648696829688</v>
      </c>
      <c r="U11" s="116" t="str">
        <f>'user page'!T11</f>
        <v>60-69</v>
      </c>
      <c r="V11" s="117">
        <f>'user page'!U11</f>
        <v>0</v>
      </c>
      <c r="W11" s="117">
        <f>'user page'!V11</f>
        <v>5.6909351684564236E-4</v>
      </c>
      <c r="X11" s="117">
        <f>'user page'!W11</f>
        <v>5.747275349847758E-4</v>
      </c>
      <c r="Y11" s="117">
        <f>'user page'!X11</f>
        <v>5.7604330517735391E-4</v>
      </c>
      <c r="Z11" s="117">
        <f>'user page'!Y11</f>
        <v>1.743029296366494E-3</v>
      </c>
      <c r="AA11" s="117">
        <f>'user page'!Z11</f>
        <v>1.6682904076787963E-3</v>
      </c>
      <c r="AB11" s="117">
        <f>'user page'!AA11</f>
        <v>6.455654930876964E-4</v>
      </c>
      <c r="AC11" s="117">
        <f>'user page'!AB11</f>
        <v>9.5969988342803347E-4</v>
      </c>
      <c r="AD11" s="117">
        <f>'user page'!AC11</f>
        <v>8.3732278161652296E-4</v>
      </c>
      <c r="AE11" s="117">
        <f>'user page'!AD11</f>
        <v>1.2601877147446761E-3</v>
      </c>
      <c r="AF11" s="117">
        <f>'user page'!AE11</f>
        <v>1.6233292184453241E-3</v>
      </c>
      <c r="AG11" s="117">
        <f>'user page'!AF11</f>
        <v>1.552749634753825E-3</v>
      </c>
      <c r="AH11" s="117">
        <f>'user page'!AG11</f>
        <v>1.743029296366494E-3</v>
      </c>
      <c r="AI11" s="117">
        <f>'user page'!AH11</f>
        <v>1.6682904076787963E-3</v>
      </c>
    </row>
    <row r="12" spans="1:35" ht="13" x14ac:dyDescent="0.3">
      <c r="A12" s="133"/>
      <c r="B12" s="134" t="s">
        <v>7</v>
      </c>
      <c r="C12" s="296">
        <f>'Calibration Data'!R38</f>
        <v>1.0864541997907604</v>
      </c>
      <c r="D12" s="296">
        <f>'Calibration Data'!R30</f>
        <v>1.0201532886325915</v>
      </c>
      <c r="E12" s="296">
        <f>IF('user page'!$R$40=1,VLOOKUP($E$5&amp;"_"&amp;2&amp;"_"&amp;$A$7&amp;"__"&amp;$B12&amp;"_"&amp;E$6,'Scenario Data'!$A$2:$V$12509,21,FALSE),C12)</f>
        <v>1.0864541997907604</v>
      </c>
      <c r="F12" s="296">
        <f>IF('user page'!$R$40=1,VLOOKUP($E$5&amp;"_"&amp;2&amp;"_"&amp;$A$7&amp;"__"&amp;$B12&amp;"_"&amp;F$6,'Scenario Data'!$A$2:$V$12509,21,FALSE),D12)</f>
        <v>1.0201532886325915</v>
      </c>
      <c r="G12" s="296">
        <f>IF('user page'!$R$40=1,VLOOKUP($G$5&amp;"_"&amp;2&amp;"_"&amp;$A$7&amp;"__"&amp;$B12&amp;"_"&amp;G$6,'Scenario Data'!$A$2:$V$12509,21,FALSE),C12)</f>
        <v>1.0864541997907604</v>
      </c>
      <c r="H12" s="296">
        <f>IF('user page'!$R$40=1,VLOOKUP($G$5&amp;"_"&amp;2&amp;"_"&amp;$A$7&amp;"__"&amp;$B12&amp;"_"&amp;H$6,'Scenario Data'!$A$2:$V$12509,21,FALSE),D12)</f>
        <v>1.0201532886325915</v>
      </c>
      <c r="I12" s="296">
        <f>IF('user page'!$R$40=1,VLOOKUP($I$5&amp;"_"&amp;2&amp;"_"&amp;$A$7&amp;"__"&amp;$B12&amp;"_"&amp;I$6,'Scenario Data'!$A$2:$V$12509,21,FALSE),C12)</f>
        <v>1.0864541997907604</v>
      </c>
      <c r="J12" s="296">
        <f>IF('user page'!$R$40=1,VLOOKUP($I$5&amp;"_"&amp;2&amp;"_"&amp;$A$7&amp;"__"&amp;$B12&amp;"_"&amp;J$6,'Scenario Data'!$A$2:$V$12509,21,FALSE),$D12)</f>
        <v>1.0201532886325915</v>
      </c>
      <c r="K12" s="296">
        <f>IF('user page'!$R$40=1,VLOOKUP($I$5&amp;"_"&amp;2&amp;"_"&amp;$A$7&amp;"__"&amp;$B12&amp;"_"&amp;K$6,'Scenario Data'!$A$2:$V$12509,21,FALSE),$C12)</f>
        <v>1.0864541997907604</v>
      </c>
      <c r="L12" s="296">
        <f>IF('user page'!$R$40=1,VLOOKUP($I$5&amp;"_"&amp;2&amp;"_"&amp;$A$7&amp;"__"&amp;$B12&amp;"_"&amp;L$6,'Scenario Data'!$A$2:$V$12509,21,FALSE),$D12)</f>
        <v>1.0201532886325915</v>
      </c>
      <c r="M12" s="296">
        <f>IF('user page'!$R$40=1,VLOOKUP($I$5&amp;"_"&amp;2&amp;"_"&amp;$A$7&amp;"__"&amp;$B12&amp;"_"&amp;M$6,'Scenario Data'!$A$2:$V$12509,21,FALSE),$C12)</f>
        <v>1.0864541997907604</v>
      </c>
      <c r="N12" s="296">
        <f>IF('user page'!$R$40=1,VLOOKUP($I$5&amp;"_"&amp;2&amp;"_"&amp;$A$7&amp;"__"&amp;$B12&amp;"_"&amp;N$6,'Scenario Data'!$A$2:$V$12509,21,FALSE),$D12)</f>
        <v>1.0201532886325915</v>
      </c>
      <c r="O12" s="734">
        <f t="shared" si="0"/>
        <v>1.0864541997907604</v>
      </c>
      <c r="P12" s="734">
        <f t="shared" si="1"/>
        <v>1.0201532886325915</v>
      </c>
      <c r="Q12" s="404">
        <f>IF(('user page'!$Y$1=0),C12,IF(('user page'!$Y$1=1),E12,IF(('user page'!$Y$1=2),G12,IF(('user page'!$Y$1=3),I12,IF(('user page'!$Y$1=4),K12,IF(('user page'!$Y$1=5),M12,IF(('user page'!$Y$1=6),O12,"")))))))</f>
        <v>1.0864541997907604</v>
      </c>
      <c r="R12" s="404">
        <f>IF(('user page'!$Y$1=0),D12,IF(('user page'!$Y$1=1),F12,IF(('user page'!$Y$1=2),H12,IF(('user page'!$Y$1=3),J12,IF(('user page'!$Y$1=4),L12,IF(('user page'!$Y$1=5),N12,IF(('user page'!$Y$1=6),P12,"")))))))</f>
        <v>1.0201532886325915</v>
      </c>
      <c r="U12" s="116" t="str">
        <f>'user page'!T12</f>
        <v>70-79</v>
      </c>
      <c r="V12" s="117">
        <f>'user page'!U12</f>
        <v>0</v>
      </c>
      <c r="W12" s="117">
        <f>'user page'!V12</f>
        <v>7.3555584572493338E-4</v>
      </c>
      <c r="X12" s="117">
        <f>'user page'!W12</f>
        <v>1.1374305424778353E-3</v>
      </c>
      <c r="Y12" s="117">
        <f>'user page'!X12</f>
        <v>7.4432985204153645E-4</v>
      </c>
      <c r="Z12" s="117">
        <f>'user page'!Y12</f>
        <v>1.7486522416583217E-3</v>
      </c>
      <c r="AA12" s="117">
        <f>'user page'!Z12</f>
        <v>8.1836567127280269E-4</v>
      </c>
      <c r="AB12" s="117">
        <f>'user page'!AA12</f>
        <v>1.2749268692018312E-3</v>
      </c>
      <c r="AC12" s="117">
        <f>'user page'!AB12</f>
        <v>1.2213391922692995E-3</v>
      </c>
      <c r="AD12" s="117">
        <f>'user page'!AC12</f>
        <v>1.6442395007085775E-3</v>
      </c>
      <c r="AE12" s="117">
        <f>'user page'!AD12</f>
        <v>1.585273090096484E-3</v>
      </c>
      <c r="AF12" s="117">
        <f>'user page'!AE12</f>
        <v>1.6298347222469811E-3</v>
      </c>
      <c r="AG12" s="117">
        <f>'user page'!AF12</f>
        <v>7.6347967803380712E-4</v>
      </c>
      <c r="AH12" s="117">
        <f>'user page'!AG12</f>
        <v>1.7486522416583217E-3</v>
      </c>
      <c r="AI12" s="117">
        <f>'user page'!AH12</f>
        <v>8.1836567127280269E-4</v>
      </c>
    </row>
    <row r="13" spans="1:35" ht="13" x14ac:dyDescent="0.3">
      <c r="A13" s="133"/>
      <c r="B13" s="134" t="s">
        <v>8</v>
      </c>
      <c r="C13" s="296">
        <f>'Calibration Data'!R39</f>
        <v>1.3799894883774591</v>
      </c>
      <c r="D13" s="296">
        <f>'Calibration Data'!R31</f>
        <v>0.8831145060311737</v>
      </c>
      <c r="E13" s="296">
        <f>IF('user page'!$R$40=1,VLOOKUP($E$5&amp;"_"&amp;2&amp;"_"&amp;$A$7&amp;"__"&amp;$B13&amp;"_"&amp;E$6,'Scenario Data'!$A$2:$V$12509,21,FALSE),C13)</f>
        <v>1.3799894883774591</v>
      </c>
      <c r="F13" s="296">
        <f>IF('user page'!$R$40=1,VLOOKUP($E$5&amp;"_"&amp;2&amp;"_"&amp;$A$7&amp;"__"&amp;$B13&amp;"_"&amp;F$6,'Scenario Data'!$A$2:$V$12509,21,FALSE),D13)</f>
        <v>0.8831145060311737</v>
      </c>
      <c r="G13" s="296">
        <f>IF('user page'!$R$40=1,VLOOKUP($G$5&amp;"_"&amp;2&amp;"_"&amp;$A$7&amp;"__"&amp;$B13&amp;"_"&amp;G$6,'Scenario Data'!$A$2:$V$12509,21,FALSE),C13)</f>
        <v>1.3799894883774591</v>
      </c>
      <c r="H13" s="296">
        <f>IF('user page'!$R$40=1,VLOOKUP($G$5&amp;"_"&amp;2&amp;"_"&amp;$A$7&amp;"__"&amp;$B13&amp;"_"&amp;H$6,'Scenario Data'!$A$2:$V$12509,21,FALSE),D13)</f>
        <v>0.8831145060311737</v>
      </c>
      <c r="I13" s="296">
        <f>IF('user page'!$R$40=1,VLOOKUP($I$5&amp;"_"&amp;2&amp;"_"&amp;$A$7&amp;"__"&amp;$B13&amp;"_"&amp;I$6,'Scenario Data'!$A$2:$V$12509,21,FALSE),C13)</f>
        <v>1.3799894883774591</v>
      </c>
      <c r="J13" s="296">
        <f>IF('user page'!$R$40=1,VLOOKUP($I$5&amp;"_"&amp;2&amp;"_"&amp;$A$7&amp;"__"&amp;$B13&amp;"_"&amp;J$6,'Scenario Data'!$A$2:$V$12509,21,FALSE),$D13)</f>
        <v>0.8831145060311737</v>
      </c>
      <c r="K13" s="296">
        <f>IF('user page'!$R$40=1,VLOOKUP($I$5&amp;"_"&amp;2&amp;"_"&amp;$A$7&amp;"__"&amp;$B13&amp;"_"&amp;K$6,'Scenario Data'!$A$2:$V$12509,21,FALSE),$C13)</f>
        <v>1.3799894883774591</v>
      </c>
      <c r="L13" s="296">
        <f>IF('user page'!$R$40=1,VLOOKUP($I$5&amp;"_"&amp;2&amp;"_"&amp;$A$7&amp;"__"&amp;$B13&amp;"_"&amp;L$6,'Scenario Data'!$A$2:$V$12509,21,FALSE),$D13)</f>
        <v>0.8831145060311737</v>
      </c>
      <c r="M13" s="296">
        <f>IF('user page'!$R$40=1,VLOOKUP($I$5&amp;"_"&amp;2&amp;"_"&amp;$A$7&amp;"__"&amp;$B13&amp;"_"&amp;M$6,'Scenario Data'!$A$2:$V$12509,21,FALSE),$C13)</f>
        <v>1.3799894883774591</v>
      </c>
      <c r="N13" s="296">
        <f>IF('user page'!$R$40=1,VLOOKUP($I$5&amp;"_"&amp;2&amp;"_"&amp;$A$7&amp;"__"&amp;$B13&amp;"_"&amp;N$6,'Scenario Data'!$A$2:$V$12509,21,FALSE),$D13)</f>
        <v>0.8831145060311737</v>
      </c>
      <c r="O13" s="734">
        <f t="shared" si="0"/>
        <v>1.3799894883774591</v>
      </c>
      <c r="P13" s="734">
        <f t="shared" si="1"/>
        <v>0.8831145060311737</v>
      </c>
      <c r="Q13" s="404">
        <f>IF(('user page'!$Y$1=0),C13,IF(('user page'!$Y$1=1),E13,IF(('user page'!$Y$1=2),G13,IF(('user page'!$Y$1=3),I13,IF(('user page'!$Y$1=4),K13,IF(('user page'!$Y$1=5),M13,IF(('user page'!$Y$1=6),O13,"")))))))</f>
        <v>1.3799894883774591</v>
      </c>
      <c r="R13" s="404">
        <f>IF(('user page'!$Y$1=0),D13,IF(('user page'!$Y$1=1),F13,IF(('user page'!$Y$1=2),H13,IF(('user page'!$Y$1=3),J13,IF(('user page'!$Y$1=4),L13,IF(('user page'!$Y$1=5),N13,IF(('user page'!$Y$1=6),P13,"")))))))</f>
        <v>0.8831145060311737</v>
      </c>
      <c r="U13" s="116" t="str">
        <f>'user page'!T13</f>
        <v>80+</v>
      </c>
      <c r="V13" s="117">
        <f>'user page'!U13</f>
        <v>0</v>
      </c>
      <c r="W13" s="117">
        <f>'user page'!V13</f>
        <v>3.8955244988247983E-4</v>
      </c>
      <c r="X13" s="117">
        <f>'user page'!W13</f>
        <v>9.7725348801480649E-4</v>
      </c>
      <c r="Y13" s="117">
        <f>'user page'!X13</f>
        <v>3.9413573669255797E-4</v>
      </c>
      <c r="Z13" s="117">
        <f>'user page'!Y13</f>
        <v>8.5460582873575497E-4</v>
      </c>
      <c r="AA13" s="117">
        <f>'user page'!Z13</f>
        <v>7.3259072966491701E-4</v>
      </c>
      <c r="AB13" s="117">
        <f>'user page'!AA13</f>
        <v>1.0966931517510936E-3</v>
      </c>
      <c r="AC13" s="117">
        <f>'user page'!AB13</f>
        <v>6.4100403038147569E-4</v>
      </c>
      <c r="AD13" s="117">
        <f>'user page'!AC13</f>
        <v>1.4187546562920428E-3</v>
      </c>
      <c r="AE13" s="117">
        <f>'user page'!AD13</f>
        <v>8.2625455528018144E-4</v>
      </c>
      <c r="AF13" s="117">
        <f>'user page'!AE13</f>
        <v>7.9655088783336936E-4</v>
      </c>
      <c r="AG13" s="117">
        <f>'user page'!AF13</f>
        <v>6.8196146655297163E-4</v>
      </c>
      <c r="AH13" s="117">
        <f>'user page'!AG13</f>
        <v>8.5460582873575497E-4</v>
      </c>
      <c r="AI13" s="117">
        <f>'user page'!AH13</f>
        <v>7.3259072966491701E-4</v>
      </c>
    </row>
    <row r="14" spans="1:35" ht="13.5" thickBot="1" x14ac:dyDescent="0.35">
      <c r="A14" s="133"/>
      <c r="B14" s="134" t="s">
        <v>9</v>
      </c>
      <c r="C14" s="296">
        <f>'Calibration Data'!R40</f>
        <v>0.71851957906701924</v>
      </c>
      <c r="D14" s="296">
        <f>'Calibration Data'!R32</f>
        <v>0.54759068323896976</v>
      </c>
      <c r="E14" s="296">
        <f>IF('user page'!$R$40=1,VLOOKUP($E$5&amp;"_"&amp;2&amp;"_"&amp;$A$7&amp;"__"&amp;$B14&amp;"_"&amp;E$6,'Scenario Data'!$A$2:$V$12509,21,FALSE),C14)</f>
        <v>0.71851957906701924</v>
      </c>
      <c r="F14" s="296">
        <f>IF('user page'!$R$40=1,VLOOKUP($E$5&amp;"_"&amp;2&amp;"_"&amp;$A$7&amp;"__"&amp;$B14&amp;"_"&amp;F$6,'Scenario Data'!$A$2:$V$12509,21,FALSE),D14)</f>
        <v>0.54759068323896976</v>
      </c>
      <c r="G14" s="296">
        <f>IF('user page'!$R$40=1,VLOOKUP($G$5&amp;"_"&amp;2&amp;"_"&amp;$A$7&amp;"__"&amp;$B14&amp;"_"&amp;G$6,'Scenario Data'!$A$2:$V$12509,21,FALSE),C14)</f>
        <v>0.71851957906701924</v>
      </c>
      <c r="H14" s="296">
        <f>IF('user page'!$R$40=1,VLOOKUP($G$5&amp;"_"&amp;2&amp;"_"&amp;$A$7&amp;"__"&amp;$B14&amp;"_"&amp;H$6,'Scenario Data'!$A$2:$V$12509,21,FALSE),D14)</f>
        <v>0.54759068323896976</v>
      </c>
      <c r="I14" s="296">
        <f>IF('user page'!$R$40=1,VLOOKUP($I$5&amp;"_"&amp;2&amp;"_"&amp;$A$7&amp;"__"&amp;$B14&amp;"_"&amp;I$6,'Scenario Data'!$A$2:$V$12509,21,FALSE),C14)</f>
        <v>0.71851957906701924</v>
      </c>
      <c r="J14" s="296">
        <f>IF('user page'!$R$40=1,VLOOKUP($I$5&amp;"_"&amp;2&amp;"_"&amp;$A$7&amp;"__"&amp;$B14&amp;"_"&amp;J$6,'Scenario Data'!$A$2:$V$12509,21,FALSE),$D14)</f>
        <v>0.54759068323896976</v>
      </c>
      <c r="K14" s="296">
        <f>IF('user page'!$R$40=1,VLOOKUP($I$5&amp;"_"&amp;2&amp;"_"&amp;$A$7&amp;"__"&amp;$B14&amp;"_"&amp;K$6,'Scenario Data'!$A$2:$V$12509,21,FALSE),$C14)</f>
        <v>0.71851957906701924</v>
      </c>
      <c r="L14" s="296">
        <f>IF('user page'!$R$40=1,VLOOKUP($I$5&amp;"_"&amp;2&amp;"_"&amp;$A$7&amp;"__"&amp;$B14&amp;"_"&amp;L$6,'Scenario Data'!$A$2:$V$12509,21,FALSE),$D14)</f>
        <v>0.54759068323896976</v>
      </c>
      <c r="M14" s="296">
        <f>IF('user page'!$R$40=1,VLOOKUP($I$5&amp;"_"&amp;2&amp;"_"&amp;$A$7&amp;"__"&amp;$B14&amp;"_"&amp;M$6,'Scenario Data'!$A$2:$V$12509,21,FALSE),$C14)</f>
        <v>0.71851957906701924</v>
      </c>
      <c r="N14" s="296">
        <f>IF('user page'!$R$40=1,VLOOKUP($I$5&amp;"_"&amp;2&amp;"_"&amp;$A$7&amp;"__"&amp;$B14&amp;"_"&amp;N$6,'Scenario Data'!$A$2:$V$12509,21,FALSE),$D14)</f>
        <v>0.54759068323896976</v>
      </c>
      <c r="O14" s="734">
        <f t="shared" si="0"/>
        <v>0.71851957906701924</v>
      </c>
      <c r="P14" s="734">
        <f t="shared" si="1"/>
        <v>0.54759068323896976</v>
      </c>
      <c r="Q14" s="404">
        <f>IF(('user page'!$Y$1=0),C14,IF(('user page'!$Y$1=1),E14,IF(('user page'!$Y$1=2),G14,IF(('user page'!$Y$1=3),I14,IF(('user page'!$Y$1=4),K14,IF(('user page'!$Y$1=5),M14,IF(('user page'!$Y$1=6),O14,"")))))))</f>
        <v>0.71851957906701924</v>
      </c>
      <c r="R14" s="404">
        <f>IF(('user page'!$Y$1=0),D14,IF(('user page'!$Y$1=1),F14,IF(('user page'!$Y$1=2),H14,IF(('user page'!$Y$1=3),J14,IF(('user page'!$Y$1=4),L14,IF(('user page'!$Y$1=5),N14,IF(('user page'!$Y$1=6),P14,"")))))))</f>
        <v>0.54759068323896976</v>
      </c>
      <c r="U14" s="116" t="str">
        <f>'user page'!T14</f>
        <v>total</v>
      </c>
      <c r="V14" s="807">
        <f>'user page'!U14</f>
        <v>4.0561953764448706E-4</v>
      </c>
      <c r="W14" s="820"/>
      <c r="X14" s="807">
        <f>'user page'!W14</f>
        <v>5.7694006914455463E-4</v>
      </c>
      <c r="Y14" s="820"/>
      <c r="Z14" s="807">
        <f>'user page'!Y14</f>
        <v>1.2102967020485079E-3</v>
      </c>
      <c r="AA14" s="820"/>
      <c r="AB14" s="807">
        <f>'user page'!AA14</f>
        <v>4.2350777396155429E-4</v>
      </c>
      <c r="AC14" s="820"/>
      <c r="AD14" s="807">
        <f>'user page'!AC14</f>
        <v>1.1528625824952924E-3</v>
      </c>
      <c r="AE14" s="820"/>
      <c r="AF14" s="807">
        <f>'user page'!AE14</f>
        <v>1.659019639262147E-3</v>
      </c>
      <c r="AG14" s="808"/>
      <c r="AH14" s="807">
        <f>'user page'!AG14</f>
        <v>1.4401069464816641E-3</v>
      </c>
      <c r="AI14" s="808"/>
    </row>
    <row r="15" spans="1:35" ht="13" x14ac:dyDescent="0.3">
      <c r="A15" s="133"/>
      <c r="B15" s="134"/>
      <c r="C15" s="296"/>
      <c r="D15" s="296"/>
      <c r="E15" s="296"/>
      <c r="F15" s="296"/>
      <c r="G15" s="296"/>
      <c r="H15" s="296"/>
      <c r="I15" s="296"/>
      <c r="J15" s="296"/>
      <c r="K15" s="710"/>
      <c r="L15" s="710"/>
      <c r="M15" s="710"/>
      <c r="N15" s="710"/>
      <c r="O15" s="734"/>
      <c r="P15" s="734"/>
      <c r="Q15" s="404"/>
      <c r="R15" s="404"/>
    </row>
    <row r="16" spans="1:35" ht="24" customHeight="1" x14ac:dyDescent="0.3">
      <c r="A16" s="133" t="s">
        <v>250</v>
      </c>
      <c r="B16" s="134" t="s">
        <v>196</v>
      </c>
      <c r="C16" s="296">
        <f>'Calibration Data'!R17</f>
        <v>0.14985555251216795</v>
      </c>
      <c r="D16" s="296">
        <f>'Calibration Data'!R9</f>
        <v>0.33201617689395502</v>
      </c>
      <c r="E16" s="296">
        <f>IF('user page'!$R$40=1,VLOOKUP($E$5&amp;"_"&amp;2&amp;"_"&amp;$A$16&amp;"__"&amp;$B16&amp;"_"&amp;E$6,'Scenario Data'!$A$2:$V$12509,21,FALSE),C16)</f>
        <v>0.14985555251216795</v>
      </c>
      <c r="F16" s="296">
        <f>IF('user page'!$R$40=1,VLOOKUP($E$5&amp;"_"&amp;2&amp;"_"&amp;$A$16&amp;"__"&amp;$B16&amp;"_"&amp;F$6,'Scenario Data'!$A$2:$V$12509,21,FALSE),D16)</f>
        <v>0.33201617689395502</v>
      </c>
      <c r="G16" s="296">
        <f>IF('user page'!$R$40=1,VLOOKUP($G$5&amp;"_"&amp;2&amp;"_"&amp;$A$16&amp;"__"&amp;$B16&amp;"_"&amp;G$6,'Scenario Data'!$A$2:$V$12509,21,FALSE),C16)</f>
        <v>0.14985555251216795</v>
      </c>
      <c r="H16" s="296">
        <f>IF('user page'!$R$40=1,VLOOKUP($G$5&amp;"_"&amp;2&amp;"_"&amp;$A$16&amp;"__"&amp;$B16&amp;"_"&amp;H$6,'Scenario Data'!$A$2:$V$12509,21,FALSE),D16)</f>
        <v>0.33201617689395502</v>
      </c>
      <c r="I16" s="296">
        <f>IF('user page'!$R$40=1,VLOOKUP($I$5&amp;"_"&amp;2&amp;"_"&amp;$A$16&amp;"__"&amp;$B16&amp;"_"&amp;I$6,'Scenario Data'!$A$2:$V$12509,21,FALSE),C16)</f>
        <v>0.14985555251216795</v>
      </c>
      <c r="J16" s="296">
        <f>IF('user page'!$R$40=1,VLOOKUP($I$5&amp;"_"&amp;2&amp;"_"&amp;$A$16&amp;"__"&amp;$B16&amp;"_"&amp;J$6,'Scenario Data'!$A$2:$V$12509,21,FALSE),D16)</f>
        <v>0.33201617689395502</v>
      </c>
      <c r="K16" s="296">
        <f>IF('user page'!$R$40=1,VLOOKUP($I$5&amp;"_"&amp;2&amp;"_"&amp;$A$16&amp;"__"&amp;$B16&amp;"_"&amp;K$6,'Scenario Data'!$A$2:$V$12509,21,FALSE),C16)</f>
        <v>0.14985555251216795</v>
      </c>
      <c r="L16" s="296">
        <f>IF('user page'!$R$40=1,VLOOKUP($I$5&amp;"_"&amp;2&amp;"_"&amp;$A$16&amp;"__"&amp;$B16&amp;"_"&amp;L$6,'Scenario Data'!$A$2:$V$12509,21,FALSE),D16)</f>
        <v>0.33201617689395502</v>
      </c>
      <c r="M16" s="710">
        <f>IF('user page'!$R$40=1,VLOOKUP($I$5&amp;"_"&amp;2&amp;"_"&amp;$A$16&amp;"__"&amp;$B16&amp;"_"&amp;K$6,'Scenario Data'!$A$2:$V$12509,21,FALSE),C16)</f>
        <v>0.14985555251216795</v>
      </c>
      <c r="N16" s="710">
        <f>IF('user page'!$R$40=1,VLOOKUP($I$5&amp;"_"&amp;2&amp;"_"&amp;$A$16&amp;"__"&amp;$B16&amp;"_"&amp;L$6,'Scenario Data'!$A$2:$V$12509,21,FALSE),D16)</f>
        <v>0.33201617689395502</v>
      </c>
      <c r="O16" s="734">
        <f t="shared" si="0"/>
        <v>0.14985555251216795</v>
      </c>
      <c r="P16" s="734">
        <f t="shared" si="0"/>
        <v>0.33201617689395502</v>
      </c>
      <c r="Q16" s="404">
        <f>IF(('user page'!$Y$1=0),C16,IF(('user page'!$Y$1=1),E16,IF(('user page'!$Y$1=2),G16,IF(('user page'!$Y$1=3),I16,IF(('user page'!$Y$1=4),K16,IF(('user page'!$Y$1=5),M16,IF(('user page'!$Y$1=6),O16,"")))))))</f>
        <v>0.14985555251216795</v>
      </c>
      <c r="R16" s="404">
        <f>IF(('user page'!$Y$1=0),D16,IF(('user page'!$Y$1=1),F16,IF(('user page'!$Y$1=2),H16,IF(('user page'!$Y$1=3),J16,IF(('user page'!$Y$1=4),L16,IF(('user page'!$Y$1=5),N16,IF(('user page'!$Y$1=6),P16,"")))))))</f>
        <v>0.33201617689395502</v>
      </c>
    </row>
    <row r="17" spans="1:18" ht="13" x14ac:dyDescent="0.3">
      <c r="A17" s="133"/>
      <c r="B17" s="456" t="s">
        <v>191</v>
      </c>
      <c r="C17" s="296">
        <f>'Calibration Data'!R18</f>
        <v>2.7635499052890284</v>
      </c>
      <c r="D17" s="296">
        <f>'Calibration Data'!R10</f>
        <v>1.702512523244367</v>
      </c>
      <c r="E17" s="296">
        <f>IF('user page'!$R$40=1,VLOOKUP($E$5&amp;"_"&amp;2&amp;"_"&amp;$A$16&amp;"__"&amp;$B17&amp;"_"&amp;E$6,'Scenario Data'!$A$2:$V$12509,21,FALSE),C17)</f>
        <v>2.7635499052890284</v>
      </c>
      <c r="F17" s="296">
        <f>IF('user page'!$R$40=1,VLOOKUP($E$5&amp;"_"&amp;2&amp;"_"&amp;$A$16&amp;"__"&amp;$B17&amp;"_"&amp;F$6,'Scenario Data'!$A$2:$V$12509,21,FALSE),D17)</f>
        <v>1.702512523244367</v>
      </c>
      <c r="G17" s="296">
        <f>IF('user page'!$R$40=1,VLOOKUP($G$5&amp;"_"&amp;2&amp;"_"&amp;$A$16&amp;"__"&amp;$B17&amp;"_"&amp;G$6,'Scenario Data'!$A$2:$V$12509,21,FALSE),C17)</f>
        <v>2.7635499052890284</v>
      </c>
      <c r="H17" s="296">
        <f>IF('user page'!$R$40=1,VLOOKUP($G$5&amp;"_"&amp;2&amp;"_"&amp;$A$16&amp;"__"&amp;$B17&amp;"_"&amp;H$6,'Scenario Data'!$A$2:$V$12509,21,FALSE),D17)</f>
        <v>1.702512523244367</v>
      </c>
      <c r="I17" s="296">
        <f>IF('user page'!$R$40=1,VLOOKUP($I$5&amp;"_"&amp;2&amp;"_"&amp;$A$16&amp;"__"&amp;$B17&amp;"_"&amp;I$6,'Scenario Data'!$A$2:$V$12509,21,FALSE),C17)</f>
        <v>2.7635499052890284</v>
      </c>
      <c r="J17" s="296">
        <f>IF('user page'!$R$40=1,VLOOKUP($I$5&amp;"_"&amp;2&amp;"_"&amp;$A$16&amp;"__"&amp;$B17&amp;"_"&amp;J$6,'Scenario Data'!$A$2:$V$12509,21,FALSE),D17)</f>
        <v>1.702512523244367</v>
      </c>
      <c r="K17" s="296">
        <f>IF('user page'!$R$40=1,VLOOKUP($I$5&amp;"_"&amp;2&amp;"_"&amp;$A$16&amp;"__"&amp;$B17&amp;"_"&amp;K$6,'Scenario Data'!$A$2:$V$12509,21,FALSE),C17)</f>
        <v>2.7635499052890284</v>
      </c>
      <c r="L17" s="296">
        <f>IF('user page'!$R$40=1,VLOOKUP($I$5&amp;"_"&amp;2&amp;"_"&amp;$A$16&amp;"__"&amp;$B17&amp;"_"&amp;L$6,'Scenario Data'!$A$2:$V$12509,21,FALSE),D17)</f>
        <v>1.702512523244367</v>
      </c>
      <c r="M17" s="710">
        <f>IF('user page'!$R$40=1,VLOOKUP($I$5&amp;"_"&amp;2&amp;"_"&amp;$A$16&amp;"__"&amp;$B17&amp;"_"&amp;K$6,'Scenario Data'!$A$2:$V$12509,21,FALSE),C17)</f>
        <v>2.7635499052890284</v>
      </c>
      <c r="N17" s="710">
        <f>IF('user page'!$R$40=1,VLOOKUP($I$5&amp;"_"&amp;2&amp;"_"&amp;$A$16&amp;"__"&amp;$B17&amp;"_"&amp;L$6,'Scenario Data'!$A$2:$V$12509,21,FALSE),D17)</f>
        <v>1.702512523244367</v>
      </c>
      <c r="O17" s="734">
        <f t="shared" ref="O17:O23" si="2">C17</f>
        <v>2.7635499052890284</v>
      </c>
      <c r="P17" s="734">
        <f t="shared" ref="P17:P23" si="3">D17</f>
        <v>1.702512523244367</v>
      </c>
      <c r="Q17" s="404">
        <f>IF(('user page'!$Y$1=0),C17,IF(('user page'!$Y$1=1),E17,IF(('user page'!$Y$1=2),G17,IF(('user page'!$Y$1=3),I17,IF(('user page'!$Y$1=4),K17,IF(('user page'!$Y$1=5),M17,IF(('user page'!$Y$1=6),O17,"")))))))</f>
        <v>2.7635499052890284</v>
      </c>
      <c r="R17" s="404">
        <f>IF(('user page'!$Y$1=0),D17,IF(('user page'!$Y$1=1),F17,IF(('user page'!$Y$1=2),H17,IF(('user page'!$Y$1=3),J17,IF(('user page'!$Y$1=4),L17,IF(('user page'!$Y$1=5),N17,IF(('user page'!$Y$1=6),P17,"")))))))</f>
        <v>1.702512523244367</v>
      </c>
    </row>
    <row r="18" spans="1:18" ht="13" x14ac:dyDescent="0.3">
      <c r="A18" s="133"/>
      <c r="B18" s="134" t="s">
        <v>4</v>
      </c>
      <c r="C18" s="296">
        <f>'Calibration Data'!R19</f>
        <v>2.3910524323580478</v>
      </c>
      <c r="D18" s="296">
        <f>'Calibration Data'!R11</f>
        <v>1</v>
      </c>
      <c r="E18" s="296">
        <f>IF('user page'!$R$40=1,VLOOKUP($E$5&amp;"_"&amp;2&amp;"_"&amp;$A$16&amp;"__"&amp;$B18&amp;"_"&amp;E$6,'Scenario Data'!$A$2:$V$12509,21,FALSE),C18)</f>
        <v>2.3910524323580478</v>
      </c>
      <c r="F18" s="296">
        <f>IF('user page'!$R$40=1,VLOOKUP($E$5&amp;"_"&amp;2&amp;"_"&amp;$A$16&amp;"__"&amp;$B18&amp;"_"&amp;F$6,'Scenario Data'!$A$2:$V$12509,21,FALSE),D18)</f>
        <v>1</v>
      </c>
      <c r="G18" s="296">
        <f>IF('user page'!$R$40=1,VLOOKUP($G$5&amp;"_"&amp;2&amp;"_"&amp;$A$16&amp;"__"&amp;$B18&amp;"_"&amp;G$6,'Scenario Data'!$A$2:$V$12509,21,FALSE),C18)</f>
        <v>2.3910524323580478</v>
      </c>
      <c r="H18" s="296">
        <f>IF('user page'!$R$40=1,VLOOKUP($G$5&amp;"_"&amp;2&amp;"_"&amp;$A$16&amp;"__"&amp;$B18&amp;"_"&amp;H$6,'Scenario Data'!$A$2:$V$12509,21,FALSE),D18)</f>
        <v>1</v>
      </c>
      <c r="I18" s="296">
        <f>IF('user page'!$R$40=1,VLOOKUP($I$5&amp;"_"&amp;2&amp;"_"&amp;$A$16&amp;"__"&amp;$B18&amp;"_"&amp;I$6,'Scenario Data'!$A$2:$V$12509,21,FALSE),C18)</f>
        <v>2.3910524323580478</v>
      </c>
      <c r="J18" s="296">
        <f>IF('user page'!$R$40=1,VLOOKUP($I$5&amp;"_"&amp;2&amp;"_"&amp;$A$16&amp;"__"&amp;$B18&amp;"_"&amp;J$6,'Scenario Data'!$A$2:$V$12509,21,FALSE),D18)</f>
        <v>1</v>
      </c>
      <c r="K18" s="296">
        <f>IF('user page'!$R$40=1,VLOOKUP($I$5&amp;"_"&amp;2&amp;"_"&amp;$A$16&amp;"__"&amp;$B18&amp;"_"&amp;K$6,'Scenario Data'!$A$2:$V$12509,21,FALSE),C18)</f>
        <v>2.3910524323580478</v>
      </c>
      <c r="L18" s="296">
        <f>IF('user page'!$R$40=1,VLOOKUP($I$5&amp;"_"&amp;2&amp;"_"&amp;$A$16&amp;"__"&amp;$B18&amp;"_"&amp;L$6,'Scenario Data'!$A$2:$V$12509,21,FALSE),D18)</f>
        <v>1</v>
      </c>
      <c r="M18" s="710">
        <f>IF('user page'!$R$40=1,VLOOKUP($I$5&amp;"_"&amp;2&amp;"_"&amp;$A$16&amp;"__"&amp;$B18&amp;"_"&amp;K$6,'Scenario Data'!$A$2:$V$12509,21,FALSE),C18)</f>
        <v>2.3910524323580478</v>
      </c>
      <c r="N18" s="710">
        <f>IF('user page'!$R$40=1,VLOOKUP($I$5&amp;"_"&amp;2&amp;"_"&amp;$A$16&amp;"__"&amp;$B18&amp;"_"&amp;L$6,'Scenario Data'!$A$2:$V$12509,21,FALSE),D18)</f>
        <v>1</v>
      </c>
      <c r="O18" s="734">
        <f t="shared" si="2"/>
        <v>2.3910524323580478</v>
      </c>
      <c r="P18" s="734">
        <f t="shared" si="3"/>
        <v>1</v>
      </c>
      <c r="Q18" s="404">
        <f>IF(('user page'!$Y$1=0),C18,IF(('user page'!$Y$1=1),E18,IF(('user page'!$Y$1=2),G18,IF(('user page'!$Y$1=3),I18,IF(('user page'!$Y$1=4),K18,IF(('user page'!$Y$1=5),M18,IF(('user page'!$Y$1=6),O18,"")))))))</f>
        <v>2.3910524323580478</v>
      </c>
      <c r="R18" s="404">
        <f>IF(('user page'!$Y$1=0),D18,IF(('user page'!$Y$1=1),F18,IF(('user page'!$Y$1=2),H18,IF(('user page'!$Y$1=3),J18,IF(('user page'!$Y$1=4),L18,IF(('user page'!$Y$1=5),N18,IF(('user page'!$Y$1=6),P18,"")))))))</f>
        <v>1</v>
      </c>
    </row>
    <row r="19" spans="1:18" ht="13" x14ac:dyDescent="0.3">
      <c r="A19" s="133"/>
      <c r="B19" s="134" t="s">
        <v>5</v>
      </c>
      <c r="C19" s="296">
        <f>'Calibration Data'!R20</f>
        <v>2.7072018230616095</v>
      </c>
      <c r="D19" s="296">
        <f>'Calibration Data'!R12</f>
        <v>1.1912355983677274</v>
      </c>
      <c r="E19" s="296">
        <f>IF('user page'!$R$40=1,VLOOKUP($E$5&amp;"_"&amp;2&amp;"_"&amp;$A$16&amp;"__"&amp;$B19&amp;"_"&amp;E$6,'Scenario Data'!$A$2:$V$12509,21,FALSE),C19)</f>
        <v>2.7072018230616095</v>
      </c>
      <c r="F19" s="296">
        <f>IF('user page'!$R$40=1,VLOOKUP($E$5&amp;"_"&amp;2&amp;"_"&amp;$A$16&amp;"__"&amp;$B19&amp;"_"&amp;F$6,'Scenario Data'!$A$2:$V$12509,21,FALSE),D19)</f>
        <v>1.1912355983677274</v>
      </c>
      <c r="G19" s="296">
        <f>IF('user page'!$R$40=1,VLOOKUP($G$5&amp;"_"&amp;2&amp;"_"&amp;$A$16&amp;"__"&amp;$B19&amp;"_"&amp;G$6,'Scenario Data'!$A$2:$V$12509,21,FALSE),C19)</f>
        <v>2.7072018230616095</v>
      </c>
      <c r="H19" s="296">
        <f>IF('user page'!$R$40=1,VLOOKUP($G$5&amp;"_"&amp;2&amp;"_"&amp;$A$16&amp;"__"&amp;$B19&amp;"_"&amp;H$6,'Scenario Data'!$A$2:$V$12509,21,FALSE),D19)</f>
        <v>1.1912355983677274</v>
      </c>
      <c r="I19" s="296">
        <f>IF('user page'!$R$40=1,VLOOKUP($I$5&amp;"_"&amp;2&amp;"_"&amp;$A$16&amp;"__"&amp;$B19&amp;"_"&amp;I$6,'Scenario Data'!$A$2:$V$12509,21,FALSE),C19)</f>
        <v>2.7072018230616095</v>
      </c>
      <c r="J19" s="296">
        <f>IF('user page'!$R$40=1,VLOOKUP($I$5&amp;"_"&amp;2&amp;"_"&amp;$A$16&amp;"__"&amp;$B19&amp;"_"&amp;J$6,'Scenario Data'!$A$2:$V$12509,21,FALSE),D19)</f>
        <v>1.1912355983677274</v>
      </c>
      <c r="K19" s="296">
        <f>IF('user page'!$R$40=1,VLOOKUP($I$5&amp;"_"&amp;2&amp;"_"&amp;$A$16&amp;"__"&amp;$B19&amp;"_"&amp;K$6,'Scenario Data'!$A$2:$V$12509,21,FALSE),C19)</f>
        <v>2.7072018230616095</v>
      </c>
      <c r="L19" s="296">
        <f>IF('user page'!$R$40=1,VLOOKUP($I$5&amp;"_"&amp;2&amp;"_"&amp;$A$16&amp;"__"&amp;$B19&amp;"_"&amp;L$6,'Scenario Data'!$A$2:$V$12509,21,FALSE),D19)</f>
        <v>1.1912355983677274</v>
      </c>
      <c r="M19" s="710">
        <f>IF('user page'!$R$40=1,VLOOKUP($I$5&amp;"_"&amp;2&amp;"_"&amp;$A$16&amp;"__"&amp;$B19&amp;"_"&amp;K$6,'Scenario Data'!$A$2:$V$12509,21,FALSE),C19)</f>
        <v>2.7072018230616095</v>
      </c>
      <c r="N19" s="710">
        <f>IF('user page'!$R$40=1,VLOOKUP($I$5&amp;"_"&amp;2&amp;"_"&amp;$A$16&amp;"__"&amp;$B19&amp;"_"&amp;L$6,'Scenario Data'!$A$2:$V$12509,21,FALSE),D19)</f>
        <v>1.1912355983677274</v>
      </c>
      <c r="O19" s="734">
        <f t="shared" si="2"/>
        <v>2.7072018230616095</v>
      </c>
      <c r="P19" s="734">
        <f t="shared" si="3"/>
        <v>1.1912355983677274</v>
      </c>
      <c r="Q19" s="404">
        <f>IF(('user page'!$Y$1=0),C19,IF(('user page'!$Y$1=1),E19,IF(('user page'!$Y$1=2),G19,IF(('user page'!$Y$1=3),I19,IF(('user page'!$Y$1=4),K19,IF(('user page'!$Y$1=5),M19,IF(('user page'!$Y$1=6),O19,"")))))))</f>
        <v>2.7072018230616095</v>
      </c>
      <c r="R19" s="404">
        <f>IF(('user page'!$Y$1=0),D19,IF(('user page'!$Y$1=1),F19,IF(('user page'!$Y$1=2),H19,IF(('user page'!$Y$1=3),J19,IF(('user page'!$Y$1=4),L19,IF(('user page'!$Y$1=5),N19,IF(('user page'!$Y$1=6),P19,"")))))))</f>
        <v>1.1912355983677274</v>
      </c>
    </row>
    <row r="20" spans="1:18" ht="13" x14ac:dyDescent="0.3">
      <c r="A20" s="133"/>
      <c r="B20" s="134" t="s">
        <v>6</v>
      </c>
      <c r="C20" s="296">
        <f>'Calibration Data'!R21</f>
        <v>7.758948858258476</v>
      </c>
      <c r="D20" s="296">
        <f>'Calibration Data'!R13</f>
        <v>3.4608264344733777</v>
      </c>
      <c r="E20" s="296">
        <f>IF('user page'!$R$40=1,VLOOKUP($E$5&amp;"_"&amp;2&amp;"_"&amp;$A$16&amp;"__"&amp;$B20&amp;"_"&amp;E$6,'Scenario Data'!$A$2:$V$12509,21,FALSE),C20)</f>
        <v>7.758948858258476</v>
      </c>
      <c r="F20" s="296">
        <f>IF('user page'!$R$40=1,VLOOKUP($E$5&amp;"_"&amp;2&amp;"_"&amp;$A$16&amp;"__"&amp;$B20&amp;"_"&amp;F$6,'Scenario Data'!$A$2:$V$12509,21,FALSE),D20)</f>
        <v>3.4608264344733777</v>
      </c>
      <c r="G20" s="296">
        <f>IF('user page'!$R$40=1,VLOOKUP($G$5&amp;"_"&amp;2&amp;"_"&amp;$A$16&amp;"__"&amp;$B20&amp;"_"&amp;G$6,'Scenario Data'!$A$2:$V$12509,21,FALSE),C20)</f>
        <v>7.758948858258476</v>
      </c>
      <c r="H20" s="296">
        <f>IF('user page'!$R$40=1,VLOOKUP($G$5&amp;"_"&amp;2&amp;"_"&amp;$A$16&amp;"__"&amp;$B20&amp;"_"&amp;H$6,'Scenario Data'!$A$2:$V$12509,21,FALSE),D20)</f>
        <v>3.4608264344733777</v>
      </c>
      <c r="I20" s="296">
        <f>IF('user page'!$R$40=1,VLOOKUP($I$5&amp;"_"&amp;2&amp;"_"&amp;$A$16&amp;"__"&amp;$B20&amp;"_"&amp;I$6,'Scenario Data'!$A$2:$V$12509,21,FALSE),C20)</f>
        <v>7.758948858258476</v>
      </c>
      <c r="J20" s="296">
        <f>IF('user page'!$R$40=1,VLOOKUP($I$5&amp;"_"&amp;2&amp;"_"&amp;$A$16&amp;"__"&amp;$B20&amp;"_"&amp;J$6,'Scenario Data'!$A$2:$V$12509,21,FALSE),D20)</f>
        <v>3.4608264344733777</v>
      </c>
      <c r="K20" s="296">
        <f>IF('user page'!$R$40=1,VLOOKUP($I$5&amp;"_"&amp;2&amp;"_"&amp;$A$16&amp;"__"&amp;$B20&amp;"_"&amp;K$6,'Scenario Data'!$A$2:$V$12509,21,FALSE),C20)</f>
        <v>7.758948858258476</v>
      </c>
      <c r="L20" s="296">
        <f>IF('user page'!$R$40=1,VLOOKUP($I$5&amp;"_"&amp;2&amp;"_"&amp;$A$16&amp;"__"&amp;$B20&amp;"_"&amp;L$6,'Scenario Data'!$A$2:$V$12509,21,FALSE),D20)</f>
        <v>3.4608264344733777</v>
      </c>
      <c r="M20" s="710">
        <f>IF('user page'!$R$40=1,VLOOKUP($I$5&amp;"_"&amp;2&amp;"_"&amp;$A$16&amp;"__"&amp;$B20&amp;"_"&amp;K$6,'Scenario Data'!$A$2:$V$12509,21,FALSE),C20)</f>
        <v>7.758948858258476</v>
      </c>
      <c r="N20" s="710">
        <f>IF('user page'!$R$40=1,VLOOKUP($I$5&amp;"_"&amp;2&amp;"_"&amp;$A$16&amp;"__"&amp;$B20&amp;"_"&amp;L$6,'Scenario Data'!$A$2:$V$12509,21,FALSE),D20)</f>
        <v>3.4608264344733777</v>
      </c>
      <c r="O20" s="734">
        <f t="shared" si="2"/>
        <v>7.758948858258476</v>
      </c>
      <c r="P20" s="734">
        <f t="shared" si="3"/>
        <v>3.4608264344733777</v>
      </c>
      <c r="Q20" s="404">
        <f>IF(('user page'!$Y$1=0),C20,IF(('user page'!$Y$1=1),E20,IF(('user page'!$Y$1=2),G20,IF(('user page'!$Y$1=3),I20,IF(('user page'!$Y$1=4),K20,IF(('user page'!$Y$1=5),M20,IF(('user page'!$Y$1=6),O20,"")))))))</f>
        <v>7.758948858258476</v>
      </c>
      <c r="R20" s="404">
        <f>IF(('user page'!$Y$1=0),D20,IF(('user page'!$Y$1=1),F20,IF(('user page'!$Y$1=2),H20,IF(('user page'!$Y$1=3),J20,IF(('user page'!$Y$1=4),L20,IF(('user page'!$Y$1=5),N20,IF(('user page'!$Y$1=6),P20,"")))))))</f>
        <v>3.4608264344733777</v>
      </c>
    </row>
    <row r="21" spans="1:18" ht="13" x14ac:dyDescent="0.3">
      <c r="A21" s="133"/>
      <c r="B21" s="134" t="s">
        <v>7</v>
      </c>
      <c r="C21" s="296">
        <f>'Calibration Data'!R22</f>
        <v>0.68007307207670809</v>
      </c>
      <c r="D21" s="296">
        <f>'Calibration Data'!R14</f>
        <v>0.34642735219066312</v>
      </c>
      <c r="E21" s="296">
        <f>IF('user page'!$R$40=1,VLOOKUP($E$5&amp;"_"&amp;2&amp;"_"&amp;$A$16&amp;"__"&amp;$B21&amp;"_"&amp;E$6,'Scenario Data'!$A$2:$V$12509,21,FALSE),C21)</f>
        <v>0.68007307207670809</v>
      </c>
      <c r="F21" s="296">
        <f>IF('user page'!$R$40=1,VLOOKUP($E$5&amp;"_"&amp;2&amp;"_"&amp;$A$16&amp;"__"&amp;$B21&amp;"_"&amp;F$6,'Scenario Data'!$A$2:$V$12509,21,FALSE),D21)</f>
        <v>0.34642735219066312</v>
      </c>
      <c r="G21" s="296">
        <f>IF('user page'!$R$40=1,VLOOKUP($G$5&amp;"_"&amp;2&amp;"_"&amp;$A$16&amp;"__"&amp;$B21&amp;"_"&amp;G$6,'Scenario Data'!$A$2:$V$12509,21,FALSE),C21)</f>
        <v>0.68007307207670809</v>
      </c>
      <c r="H21" s="296">
        <f>IF('user page'!$R$40=1,VLOOKUP($G$5&amp;"_"&amp;2&amp;"_"&amp;$A$16&amp;"__"&amp;$B21&amp;"_"&amp;H$6,'Scenario Data'!$A$2:$V$12509,21,FALSE),D21)</f>
        <v>0.34642735219066312</v>
      </c>
      <c r="I21" s="296">
        <f>IF('user page'!$R$40=1,VLOOKUP($I$5&amp;"_"&amp;2&amp;"_"&amp;$A$16&amp;"__"&amp;$B21&amp;"_"&amp;I$6,'Scenario Data'!$A$2:$V$12509,21,FALSE),C21)</f>
        <v>0.68007307207670809</v>
      </c>
      <c r="J21" s="296">
        <f>IF('user page'!$R$40=1,VLOOKUP($I$5&amp;"_"&amp;2&amp;"_"&amp;$A$16&amp;"__"&amp;$B21&amp;"_"&amp;J$6,'Scenario Data'!$A$2:$V$12509,21,FALSE),D21)</f>
        <v>0.34642735219066312</v>
      </c>
      <c r="K21" s="296">
        <f>IF('user page'!$R$40=1,VLOOKUP($I$5&amp;"_"&amp;2&amp;"_"&amp;$A$16&amp;"__"&amp;$B21&amp;"_"&amp;K$6,'Scenario Data'!$A$2:$V$12509,21,FALSE),C21)</f>
        <v>0.68007307207670809</v>
      </c>
      <c r="L21" s="296">
        <f>IF('user page'!$R$40=1,VLOOKUP($I$5&amp;"_"&amp;2&amp;"_"&amp;$A$16&amp;"__"&amp;$B21&amp;"_"&amp;L$6,'Scenario Data'!$A$2:$V$12509,21,FALSE),D21)</f>
        <v>0.34642735219066312</v>
      </c>
      <c r="M21" s="710">
        <f>IF('user page'!$R$40=1,VLOOKUP($I$5&amp;"_"&amp;2&amp;"_"&amp;$A$16&amp;"__"&amp;$B21&amp;"_"&amp;K$6,'Scenario Data'!$A$2:$V$12509,21,FALSE),C21)</f>
        <v>0.68007307207670809</v>
      </c>
      <c r="N21" s="710">
        <f>IF('user page'!$R$40=1,VLOOKUP($I$5&amp;"_"&amp;2&amp;"_"&amp;$A$16&amp;"__"&amp;$B21&amp;"_"&amp;L$6,'Scenario Data'!$A$2:$V$12509,21,FALSE),D21)</f>
        <v>0.34642735219066312</v>
      </c>
      <c r="O21" s="734">
        <f t="shared" si="2"/>
        <v>0.68007307207670809</v>
      </c>
      <c r="P21" s="734">
        <f t="shared" si="3"/>
        <v>0.34642735219066312</v>
      </c>
      <c r="Q21" s="404">
        <f>IF(('user page'!$Y$1=0),C21,IF(('user page'!$Y$1=1),E21,IF(('user page'!$Y$1=2),G21,IF(('user page'!$Y$1=3),I21,IF(('user page'!$Y$1=4),K21,IF(('user page'!$Y$1=5),M21,IF(('user page'!$Y$1=6),O21,"")))))))</f>
        <v>0.68007307207670809</v>
      </c>
      <c r="R21" s="404">
        <f>IF(('user page'!$Y$1=0),D21,IF(('user page'!$Y$1=1),F21,IF(('user page'!$Y$1=2),H21,IF(('user page'!$Y$1=3),J21,IF(('user page'!$Y$1=4),L21,IF(('user page'!$Y$1=5),N21,IF(('user page'!$Y$1=6),P21,"")))))))</f>
        <v>0.34642735219066312</v>
      </c>
    </row>
    <row r="22" spans="1:18" ht="13" x14ac:dyDescent="0.3">
      <c r="A22" s="133"/>
      <c r="B22" s="134" t="s">
        <v>8</v>
      </c>
      <c r="C22" s="296">
        <f>'Calibration Data'!R23</f>
        <v>1.5629289651911593</v>
      </c>
      <c r="D22" s="296">
        <f>'Calibration Data'!R15</f>
        <v>0.8432932765935035</v>
      </c>
      <c r="E22" s="296">
        <f>IF('user page'!$R$40=1,VLOOKUP($E$5&amp;"_"&amp;2&amp;"_"&amp;$A$16&amp;"__"&amp;$B22&amp;"_"&amp;E$6,'Scenario Data'!$A$2:$V$12509,21,FALSE),C22)</f>
        <v>1.5629289651911593</v>
      </c>
      <c r="F22" s="296">
        <f>IF('user page'!$R$40=1,VLOOKUP($E$5&amp;"_"&amp;2&amp;"_"&amp;$A$16&amp;"__"&amp;$B22&amp;"_"&amp;F$6,'Scenario Data'!$A$2:$V$12509,21,FALSE),D22)</f>
        <v>0.8432932765935035</v>
      </c>
      <c r="G22" s="296">
        <f>IF('user page'!$R$40=1,VLOOKUP($G$5&amp;"_"&amp;2&amp;"_"&amp;$A$16&amp;"__"&amp;$B22&amp;"_"&amp;G$6,'Scenario Data'!$A$2:$V$12509,21,FALSE),C22)</f>
        <v>1.5629289651911593</v>
      </c>
      <c r="H22" s="296">
        <f>IF('user page'!$R$40=1,VLOOKUP($G$5&amp;"_"&amp;2&amp;"_"&amp;$A$16&amp;"__"&amp;$B22&amp;"_"&amp;H$6,'Scenario Data'!$A$2:$V$12509,21,FALSE),D22)</f>
        <v>0.8432932765935035</v>
      </c>
      <c r="I22" s="296">
        <f>IF('user page'!$R$40=1,VLOOKUP($I$5&amp;"_"&amp;2&amp;"_"&amp;$A$16&amp;"__"&amp;$B22&amp;"_"&amp;I$6,'Scenario Data'!$A$2:$V$12509,21,FALSE),C22)</f>
        <v>1.5629289651911593</v>
      </c>
      <c r="J22" s="296">
        <f>IF('user page'!$R$40=1,VLOOKUP($I$5&amp;"_"&amp;2&amp;"_"&amp;$A$16&amp;"__"&amp;$B22&amp;"_"&amp;J$6,'Scenario Data'!$A$2:$V$12509,21,FALSE),D22)</f>
        <v>0.8432932765935035</v>
      </c>
      <c r="K22" s="296">
        <f>IF('user page'!$R$40=1,VLOOKUP($I$5&amp;"_"&amp;2&amp;"_"&amp;$A$16&amp;"__"&amp;$B22&amp;"_"&amp;K$6,'Scenario Data'!$A$2:$V$12509,21,FALSE),C22)</f>
        <v>1.5629289651911593</v>
      </c>
      <c r="L22" s="296">
        <f>IF('user page'!$R$40=1,VLOOKUP($I$5&amp;"_"&amp;2&amp;"_"&amp;$A$16&amp;"__"&amp;$B22&amp;"_"&amp;L$6,'Scenario Data'!$A$2:$V$12509,21,FALSE),D22)</f>
        <v>0.8432932765935035</v>
      </c>
      <c r="M22" s="710">
        <f>IF('user page'!$R$40=1,VLOOKUP($I$5&amp;"_"&amp;2&amp;"_"&amp;$A$16&amp;"__"&amp;$B22&amp;"_"&amp;K$6,'Scenario Data'!$A$2:$V$12509,21,FALSE),C22)</f>
        <v>1.5629289651911593</v>
      </c>
      <c r="N22" s="710">
        <f>IF('user page'!$R$40=1,VLOOKUP($I$5&amp;"_"&amp;2&amp;"_"&amp;$A$16&amp;"__"&amp;$B22&amp;"_"&amp;L$6,'Scenario Data'!$A$2:$V$12509,21,FALSE),D22)</f>
        <v>0.8432932765935035</v>
      </c>
      <c r="O22" s="734">
        <f t="shared" si="2"/>
        <v>1.5629289651911593</v>
      </c>
      <c r="P22" s="734">
        <f t="shared" si="3"/>
        <v>0.8432932765935035</v>
      </c>
      <c r="Q22" s="404">
        <f>IF(('user page'!$Y$1=0),C22,IF(('user page'!$Y$1=1),E22,IF(('user page'!$Y$1=2),G22,IF(('user page'!$Y$1=3),I22,IF(('user page'!$Y$1=4),K22,IF(('user page'!$Y$1=5),M22,IF(('user page'!$Y$1=6),O22,"")))))))</f>
        <v>1.5629289651911593</v>
      </c>
      <c r="R22" s="404">
        <f>IF(('user page'!$Y$1=0),D22,IF(('user page'!$Y$1=1),F22,IF(('user page'!$Y$1=2),H22,IF(('user page'!$Y$1=3),J22,IF(('user page'!$Y$1=4),L22,IF(('user page'!$Y$1=5),N22,IF(('user page'!$Y$1=6),P22,"")))))))</f>
        <v>0.8432932765935035</v>
      </c>
    </row>
    <row r="23" spans="1:18" ht="13" x14ac:dyDescent="0.3">
      <c r="A23" s="133"/>
      <c r="B23" s="134" t="s">
        <v>9</v>
      </c>
      <c r="C23" s="296">
        <v>0.1</v>
      </c>
      <c r="D23" s="296">
        <v>0.1</v>
      </c>
      <c r="E23" s="296">
        <f>IF('user page'!$R$40=1,VLOOKUP($E$5&amp;"_"&amp;2&amp;"_"&amp;$A$16&amp;"__"&amp;$B23&amp;"_"&amp;E$6,'Scenario Data'!$A$2:$V$12509,21,FALSE),C23)</f>
        <v>0.1</v>
      </c>
      <c r="F23" s="296">
        <f>IF('user page'!$R$40=1,VLOOKUP($E$5&amp;"_"&amp;2&amp;"_"&amp;$A$16&amp;"__"&amp;$B23&amp;"_"&amp;F$6,'Scenario Data'!$A$2:$V$12509,21,FALSE),D23)</f>
        <v>0.1</v>
      </c>
      <c r="G23" s="296">
        <f>IF('user page'!$R$40=1,VLOOKUP($G$5&amp;"_"&amp;2&amp;"_"&amp;$A$16&amp;"__"&amp;$B23&amp;"_"&amp;G$6,'Scenario Data'!$A$2:$V$12509,21,FALSE),C23)</f>
        <v>0.1</v>
      </c>
      <c r="H23" s="296">
        <f>IF('user page'!$R$40=1,VLOOKUP($G$5&amp;"_"&amp;2&amp;"_"&amp;$A$16&amp;"__"&amp;$B23&amp;"_"&amp;H$6,'Scenario Data'!$A$2:$V$12509,21,FALSE),D23)</f>
        <v>0.1</v>
      </c>
      <c r="I23" s="296">
        <f>IF('user page'!$R$40=1,VLOOKUP($I$5&amp;"_"&amp;2&amp;"_"&amp;$A$16&amp;"__"&amp;$B23&amp;"_"&amp;I$6,'Scenario Data'!$A$2:$V$12509,21,FALSE),C23)</f>
        <v>0.1</v>
      </c>
      <c r="J23" s="296">
        <f>IF('user page'!$R$40=1,VLOOKUP($I$5&amp;"_"&amp;2&amp;"_"&amp;$A$16&amp;"__"&amp;$B23&amp;"_"&amp;J$6,'Scenario Data'!$A$2:$V$12509,21,FALSE),D23)</f>
        <v>0.1</v>
      </c>
      <c r="K23" s="296">
        <f>IF('user page'!$R$40=1,VLOOKUP($I$5&amp;"_"&amp;2&amp;"_"&amp;$A$16&amp;"__"&amp;$B23&amp;"_"&amp;K$6,'Scenario Data'!$A$2:$V$12509,21,FALSE),C23)</f>
        <v>0.1</v>
      </c>
      <c r="L23" s="296">
        <f>IF('user page'!$R$40=1,VLOOKUP($I$5&amp;"_"&amp;2&amp;"_"&amp;$A$16&amp;"__"&amp;$B23&amp;"_"&amp;L$6,'Scenario Data'!$A$2:$V$12509,21,FALSE),D23)</f>
        <v>0.1</v>
      </c>
      <c r="M23" s="710">
        <f>IF('user page'!$R$40=1,VLOOKUP($I$5&amp;"_"&amp;2&amp;"_"&amp;$A$16&amp;"__"&amp;$B23&amp;"_"&amp;K$6,'Scenario Data'!$A$2:$V$12509,21,FALSE),C23)</f>
        <v>0.1</v>
      </c>
      <c r="N23" s="710">
        <f>IF('user page'!$R$40=1,VLOOKUP($I$5&amp;"_"&amp;2&amp;"_"&amp;$A$16&amp;"__"&amp;$B23&amp;"_"&amp;L$6,'Scenario Data'!$A$2:$V$12509,21,FALSE),D23)</f>
        <v>0.1</v>
      </c>
      <c r="O23" s="734">
        <f t="shared" si="2"/>
        <v>0.1</v>
      </c>
      <c r="P23" s="734">
        <f t="shared" si="3"/>
        <v>0.1</v>
      </c>
      <c r="Q23" s="404">
        <f>IF(('user page'!$Y$1=0),C23,IF(('user page'!$Y$1=1),E23,IF(('user page'!$Y$1=2),G23,IF(('user page'!$Y$1=3),I23,IF(('user page'!$Y$1=4),K23,IF(('user page'!$Y$1=5),M23,IF(('user page'!$Y$1=6),O23,"")))))))</f>
        <v>0.1</v>
      </c>
      <c r="R23" s="404">
        <f>IF(('user page'!$Y$1=0),D23,IF(('user page'!$Y$1=1),F23,IF(('user page'!$Y$1=2),H23,IF(('user page'!$Y$1=3),J23,IF(('user page'!$Y$1=4),L23,IF(('user page'!$Y$1=5),N23,IF(('user page'!$Y$1=6),P23,"")))))))</f>
        <v>0.1</v>
      </c>
    </row>
    <row r="26" spans="1:18" x14ac:dyDescent="0.25">
      <c r="A26" s="323"/>
      <c r="F26" s="545"/>
    </row>
    <row r="27" spans="1:18" x14ac:dyDescent="0.25">
      <c r="E27" s="545"/>
    </row>
    <row r="28" spans="1:18" x14ac:dyDescent="0.25">
      <c r="E28" s="545"/>
    </row>
    <row r="29" spans="1:18" x14ac:dyDescent="0.25">
      <c r="E29" s="545"/>
    </row>
    <row r="30" spans="1:18" x14ac:dyDescent="0.25">
      <c r="E30" s="545"/>
    </row>
    <row r="31" spans="1:18" x14ac:dyDescent="0.25">
      <c r="E31" s="545"/>
    </row>
    <row r="32" spans="1:18" x14ac:dyDescent="0.25">
      <c r="E32" s="545"/>
    </row>
  </sheetData>
  <mergeCells count="30">
    <mergeCell ref="A2:R3"/>
    <mergeCell ref="I4:J4"/>
    <mergeCell ref="Q4:R4"/>
    <mergeCell ref="C4:D4"/>
    <mergeCell ref="O4:P4"/>
    <mergeCell ref="G4:H4"/>
    <mergeCell ref="E4:F4"/>
    <mergeCell ref="K4:L4"/>
    <mergeCell ref="M4:N4"/>
    <mergeCell ref="U3:AI4"/>
    <mergeCell ref="AF14:AG14"/>
    <mergeCell ref="V14:W14"/>
    <mergeCell ref="X14:Y14"/>
    <mergeCell ref="Z14:AA14"/>
    <mergeCell ref="AB14:AC14"/>
    <mergeCell ref="AD14:AE14"/>
    <mergeCell ref="AH14:AI14"/>
    <mergeCell ref="V6:W6"/>
    <mergeCell ref="X6:Y6"/>
    <mergeCell ref="Z6:AA6"/>
    <mergeCell ref="AB6:AC6"/>
    <mergeCell ref="AD6:AE6"/>
    <mergeCell ref="C5:D5"/>
    <mergeCell ref="E5:F5"/>
    <mergeCell ref="G5:H5"/>
    <mergeCell ref="I5:J5"/>
    <mergeCell ref="AH6:AI6"/>
    <mergeCell ref="AF6:AG6"/>
    <mergeCell ref="K5:L5"/>
    <mergeCell ref="M5:N5"/>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7"/>
  <sheetViews>
    <sheetView workbookViewId="0">
      <selection activeCell="I17" sqref="I17"/>
    </sheetView>
  </sheetViews>
  <sheetFormatPr defaultRowHeight="12.5" x14ac:dyDescent="0.25"/>
  <cols>
    <col min="1" max="1" width="3.1796875" customWidth="1"/>
    <col min="2" max="2" width="34.54296875" customWidth="1"/>
    <col min="4" max="4" width="15" customWidth="1"/>
    <col min="5" max="5" width="15" style="545" customWidth="1"/>
    <col min="6" max="6" width="1.81640625" style="545" customWidth="1"/>
    <col min="7" max="7" width="7.26953125" style="545" customWidth="1"/>
    <col min="8" max="8" width="17.1796875" style="545" customWidth="1"/>
    <col min="9" max="9" width="12.26953125" customWidth="1"/>
    <col min="10" max="10" width="11.54296875" customWidth="1"/>
    <col min="11" max="11" width="11.7265625" customWidth="1"/>
    <col min="12" max="13" width="11.54296875" customWidth="1"/>
    <col min="14" max="14" width="1.7265625" style="545" customWidth="1"/>
    <col min="15" max="15" width="12.36328125" bestFit="1" customWidth="1"/>
    <col min="24" max="29" width="9.54296875" bestFit="1" customWidth="1"/>
  </cols>
  <sheetData>
    <row r="1" spans="2:29" ht="24" customHeight="1" thickBot="1" x14ac:dyDescent="0.45">
      <c r="B1" s="740" t="s">
        <v>412</v>
      </c>
      <c r="I1" s="1081" t="s">
        <v>417</v>
      </c>
      <c r="J1" s="1082"/>
      <c r="K1" s="1082"/>
      <c r="L1" s="1082"/>
      <c r="M1" s="1082"/>
      <c r="N1" s="738"/>
      <c r="P1" s="745" t="s">
        <v>419</v>
      </c>
    </row>
    <row r="2" spans="2:29" ht="15.5" x14ac:dyDescent="0.35">
      <c r="B2" s="736" t="s">
        <v>57</v>
      </c>
      <c r="E2" s="750" t="s">
        <v>365</v>
      </c>
      <c r="G2" s="737"/>
      <c r="H2" s="761"/>
      <c r="I2" s="762" t="s">
        <v>411</v>
      </c>
      <c r="J2" s="750" t="s">
        <v>461</v>
      </c>
      <c r="K2" s="750" t="s">
        <v>462</v>
      </c>
      <c r="L2" s="750" t="s">
        <v>463</v>
      </c>
      <c r="M2" s="750" t="s">
        <v>464</v>
      </c>
      <c r="N2" s="751"/>
      <c r="P2" s="767"/>
      <c r="Q2" s="768"/>
      <c r="R2" s="768"/>
      <c r="S2" s="768"/>
      <c r="T2" s="769"/>
      <c r="W2" s="792"/>
      <c r="X2" s="793" t="s">
        <v>365</v>
      </c>
      <c r="Y2" s="794" t="s">
        <v>411</v>
      </c>
      <c r="Z2" s="793" t="s">
        <v>413</v>
      </c>
      <c r="AA2" s="793" t="s">
        <v>414</v>
      </c>
      <c r="AB2" s="793" t="s">
        <v>415</v>
      </c>
      <c r="AC2" s="793" t="s">
        <v>416</v>
      </c>
    </row>
    <row r="3" spans="2:29" ht="15.5" x14ac:dyDescent="0.35">
      <c r="B3" s="652" t="s">
        <v>255</v>
      </c>
      <c r="C3" s="323" t="s">
        <v>106</v>
      </c>
      <c r="D3" s="774" t="s">
        <v>91</v>
      </c>
      <c r="E3" s="188">
        <f>'[5]Total Duration Tables'!B171*10^6/365*60/$E$45</f>
        <v>7.5875798088939934</v>
      </c>
      <c r="G3" s="739"/>
      <c r="H3" s="763" t="s">
        <v>91</v>
      </c>
      <c r="I3" s="397">
        <f>'[5]Total Duration Tables'!H171*10^6/365*60/$I$21</f>
        <v>7.1257777719336541</v>
      </c>
      <c r="J3" s="397">
        <f>'[6]Total Duration Tables'!H171*10^6/365*60/$J$21</f>
        <v>8.3311284937509988</v>
      </c>
      <c r="K3" s="397">
        <f>'[7]Total Duration Tables'!H171*10^6/365*60/$K$21</f>
        <v>7.9155937620452166</v>
      </c>
      <c r="L3" s="397">
        <f>'[8]Total Duration Tables'!H171*10^6/365*60/$L$21</f>
        <v>7.1623934612947977</v>
      </c>
      <c r="M3" s="397">
        <f>'[9]Total Duration Tables'!H171*10^6/365*60/$M$21</f>
        <v>6.0966710137699271</v>
      </c>
      <c r="N3" s="764"/>
      <c r="O3" s="739"/>
      <c r="P3" s="770" t="s">
        <v>420</v>
      </c>
      <c r="Q3" s="771"/>
      <c r="R3" s="263"/>
      <c r="S3" s="263"/>
      <c r="T3" s="772"/>
      <c r="V3" s="545" t="s">
        <v>459</v>
      </c>
      <c r="W3" s="795" t="s">
        <v>91</v>
      </c>
      <c r="X3" s="796">
        <f>E3*365/60</f>
        <v>46.157777170771787</v>
      </c>
      <c r="Y3" s="796">
        <f>I3*365/60</f>
        <v>43.348481445929728</v>
      </c>
      <c r="Z3" s="796">
        <f t="shared" ref="Z3:AC9" si="0">J3*365/60</f>
        <v>50.681031670318575</v>
      </c>
      <c r="AA3" s="796">
        <f t="shared" si="0"/>
        <v>48.153195385775071</v>
      </c>
      <c r="AB3" s="796">
        <f t="shared" si="0"/>
        <v>43.571226889543354</v>
      </c>
      <c r="AC3" s="796">
        <f t="shared" si="0"/>
        <v>37.088082000433722</v>
      </c>
    </row>
    <row r="4" spans="2:29" ht="15.5" x14ac:dyDescent="0.35">
      <c r="B4" s="652" t="s">
        <v>255</v>
      </c>
      <c r="C4" s="323" t="s">
        <v>106</v>
      </c>
      <c r="D4" s="774" t="s">
        <v>248</v>
      </c>
      <c r="E4" s="188">
        <f>'[5]Total Duration Tables'!B172*10^6/365*60/$E$45</f>
        <v>0.92258862520478857</v>
      </c>
      <c r="G4" s="739"/>
      <c r="H4" s="763" t="s">
        <v>248</v>
      </c>
      <c r="I4" s="397">
        <f>'[5]Total Duration Tables'!H172*10^6/365*60/$I$21</f>
        <v>0.93100324310622784</v>
      </c>
      <c r="J4" s="397">
        <f>'[6]Total Duration Tables'!H172*10^6/365*60/$J$21</f>
        <v>2.7128360645141645</v>
      </c>
      <c r="K4" s="397">
        <f>'[7]Total Duration Tables'!H172*10^6/365*60/$K$21</f>
        <v>1.8470400760581531</v>
      </c>
      <c r="L4" s="397">
        <f>'[8]Total Duration Tables'!H172*10^6/365*60/$L$21</f>
        <v>1.3897584935143887</v>
      </c>
      <c r="M4" s="397">
        <f>'[9]Total Duration Tables'!H172*10^6/365*60/$M$21</f>
        <v>1.2700083518895828</v>
      </c>
      <c r="N4" s="764"/>
      <c r="O4" s="739"/>
      <c r="P4" s="770" t="s">
        <v>421</v>
      </c>
      <c r="Q4" s="771"/>
      <c r="R4" s="263"/>
      <c r="S4" s="263"/>
      <c r="T4" s="772"/>
      <c r="W4" s="795" t="s">
        <v>248</v>
      </c>
      <c r="X4" s="796">
        <f t="shared" ref="X4:X9" si="1">E4*365/60</f>
        <v>5.6124141366624638</v>
      </c>
      <c r="Y4" s="796">
        <f t="shared" ref="Y4:Y9" si="2">I4*365/60</f>
        <v>5.6636030622295532</v>
      </c>
      <c r="Z4" s="796">
        <f t="shared" si="0"/>
        <v>16.503086059127835</v>
      </c>
      <c r="AA4" s="796">
        <f t="shared" si="0"/>
        <v>11.236160462687099</v>
      </c>
      <c r="AB4" s="796">
        <f t="shared" si="0"/>
        <v>8.4543641688791986</v>
      </c>
      <c r="AC4" s="796">
        <f t="shared" si="0"/>
        <v>7.7258841406616297</v>
      </c>
    </row>
    <row r="5" spans="2:29" ht="15.5" x14ac:dyDescent="0.35">
      <c r="B5" s="652" t="s">
        <v>255</v>
      </c>
      <c r="C5" s="323" t="s">
        <v>106</v>
      </c>
      <c r="D5" s="774" t="s">
        <v>193</v>
      </c>
      <c r="E5" s="188">
        <f>'[5]Total Duration Tables'!B173*10^6/365*60/$E$45</f>
        <v>0.44211907209217155</v>
      </c>
      <c r="G5" s="739"/>
      <c r="H5" s="763" t="s">
        <v>193</v>
      </c>
      <c r="I5" s="397">
        <f>'[5]Total Duration Tables'!H173*10^6/365*60/$I$21</f>
        <v>1.7445627654591238</v>
      </c>
      <c r="J5" s="397">
        <f>'[6]Total Duration Tables'!H173*10^6/365*60/$J$21</f>
        <v>1.9525759007267491</v>
      </c>
      <c r="K5" s="397">
        <f>'[7]Total Duration Tables'!H173*10^6/365*60/$K$21</f>
        <v>1.4342099173113765</v>
      </c>
      <c r="L5" s="397">
        <f>'[8]Total Duration Tables'!H173*10^6/365*60/$L$21</f>
        <v>1.47745257431414</v>
      </c>
      <c r="M5" s="397">
        <f>'[9]Total Duration Tables'!H173*10^6/365*60/$M$21</f>
        <v>1.095024150052708</v>
      </c>
      <c r="N5" s="764"/>
      <c r="O5" s="739"/>
      <c r="P5" s="770" t="s">
        <v>422</v>
      </c>
      <c r="Q5" s="771"/>
      <c r="R5" s="263"/>
      <c r="S5" s="263"/>
      <c r="T5" s="772"/>
      <c r="W5" s="795" t="s">
        <v>193</v>
      </c>
      <c r="X5" s="796">
        <f t="shared" si="1"/>
        <v>2.6895576885607104</v>
      </c>
      <c r="Y5" s="796">
        <f t="shared" si="2"/>
        <v>10.61275682320967</v>
      </c>
      <c r="Z5" s="796">
        <f t="shared" si="0"/>
        <v>11.878170062754389</v>
      </c>
      <c r="AA5" s="796">
        <f t="shared" si="0"/>
        <v>8.7247769969775408</v>
      </c>
      <c r="AB5" s="796">
        <f t="shared" si="0"/>
        <v>8.9878364937443518</v>
      </c>
      <c r="AC5" s="796">
        <f t="shared" si="0"/>
        <v>6.6613969128206403</v>
      </c>
    </row>
    <row r="6" spans="2:29" ht="15.5" x14ac:dyDescent="0.35">
      <c r="B6" s="652" t="s">
        <v>255</v>
      </c>
      <c r="C6" s="323" t="s">
        <v>106</v>
      </c>
      <c r="D6" s="774" t="s">
        <v>93</v>
      </c>
      <c r="E6" s="188">
        <f>'[5]Total Duration Tables'!B174*10^6/365*60/$E$45</f>
        <v>1.9604337253308775</v>
      </c>
      <c r="G6" s="739"/>
      <c r="H6" s="763" t="s">
        <v>93</v>
      </c>
      <c r="I6" s="397">
        <f>'[5]Total Duration Tables'!H174*10^6/365*60/$I$21</f>
        <v>2.5227506857272304</v>
      </c>
      <c r="J6" s="397">
        <f>'[6]Total Duration Tables'!H174*10^6/365*60/$J$21</f>
        <v>4.2049425556655056</v>
      </c>
      <c r="K6" s="397">
        <f>'[7]Total Duration Tables'!H174*10^6/365*60/$K$21</f>
        <v>2.0626512984202252</v>
      </c>
      <c r="L6" s="397">
        <f>'[8]Total Duration Tables'!H174*10^6/365*60/$L$21</f>
        <v>2.0227841701906009</v>
      </c>
      <c r="M6" s="397">
        <f>'[9]Total Duration Tables'!H174*10^6/365*60/$M$21</f>
        <v>1.5682684154802842</v>
      </c>
      <c r="N6" s="764"/>
      <c r="O6" s="739"/>
      <c r="P6" s="770" t="s">
        <v>424</v>
      </c>
      <c r="Q6" s="771"/>
      <c r="R6" s="263"/>
      <c r="S6" s="263"/>
      <c r="T6" s="772"/>
      <c r="W6" s="795" t="s">
        <v>93</v>
      </c>
      <c r="X6" s="796">
        <f t="shared" si="1"/>
        <v>11.925971829096172</v>
      </c>
      <c r="Y6" s="796">
        <f t="shared" si="2"/>
        <v>15.346733338173983</v>
      </c>
      <c r="Z6" s="796">
        <f t="shared" si="0"/>
        <v>25.580067213631825</v>
      </c>
      <c r="AA6" s="796">
        <f t="shared" si="0"/>
        <v>12.547795398723036</v>
      </c>
      <c r="AB6" s="796">
        <f t="shared" si="0"/>
        <v>12.305270368659487</v>
      </c>
      <c r="AC6" s="796">
        <f t="shared" si="0"/>
        <v>9.5402995275050611</v>
      </c>
    </row>
    <row r="7" spans="2:29" ht="15.5" x14ac:dyDescent="0.35">
      <c r="B7" s="652" t="s">
        <v>255</v>
      </c>
      <c r="C7" s="323" t="s">
        <v>106</v>
      </c>
      <c r="D7" s="774" t="s">
        <v>194</v>
      </c>
      <c r="E7" s="188">
        <f>'[5]Total Duration Tables'!B175*10^6/365*60/$E$45</f>
        <v>0.66384844760755146</v>
      </c>
      <c r="G7" s="739"/>
      <c r="H7" s="763" t="s">
        <v>194</v>
      </c>
      <c r="I7" s="397">
        <f>'[5]Total Duration Tables'!H175*10^6/365*60/$I$21</f>
        <v>0.74653718711507489</v>
      </c>
      <c r="J7" s="397">
        <f>'[6]Total Duration Tables'!H175*10^6/365*60/$J$21</f>
        <v>0.66137996031432289</v>
      </c>
      <c r="K7" s="397">
        <f>'[7]Total Duration Tables'!H175*10^6/365*60/$K$21</f>
        <v>0.685160271719778</v>
      </c>
      <c r="L7" s="397">
        <f>'[8]Total Duration Tables'!H175*10^6/365*60/$L$21</f>
        <v>0.72456818772930265</v>
      </c>
      <c r="M7" s="397">
        <f>'[9]Total Duration Tables'!H175*10^6/365*60/$M$21</f>
        <v>0.59728207786820597</v>
      </c>
      <c r="N7" s="764"/>
      <c r="O7" s="739"/>
      <c r="P7" s="770" t="s">
        <v>423</v>
      </c>
      <c r="Q7" s="771"/>
      <c r="R7" s="263"/>
      <c r="S7" s="263"/>
      <c r="T7" s="772"/>
      <c r="W7" s="795" t="s">
        <v>194</v>
      </c>
      <c r="X7" s="796">
        <f t="shared" si="1"/>
        <v>4.0384113896126044</v>
      </c>
      <c r="Y7" s="796">
        <f t="shared" si="2"/>
        <v>4.5414345549500394</v>
      </c>
      <c r="Z7" s="796">
        <f t="shared" si="0"/>
        <v>4.0233947585787977</v>
      </c>
      <c r="AA7" s="796">
        <f t="shared" si="0"/>
        <v>4.16805831962865</v>
      </c>
      <c r="AB7" s="796">
        <f t="shared" si="0"/>
        <v>4.4077898086865908</v>
      </c>
      <c r="AC7" s="796">
        <f t="shared" si="0"/>
        <v>3.6334659736982529</v>
      </c>
    </row>
    <row r="8" spans="2:29" ht="16" thickBot="1" x14ac:dyDescent="0.4">
      <c r="B8" s="652" t="s">
        <v>255</v>
      </c>
      <c r="C8" s="323" t="s">
        <v>106</v>
      </c>
      <c r="D8" s="774" t="s">
        <v>251</v>
      </c>
      <c r="E8" s="188">
        <f>'[5]Total Duration Tables'!B176*10^6/365*60/$E$45</f>
        <v>30.362933721340696</v>
      </c>
      <c r="G8" s="739"/>
      <c r="H8" s="763" t="s">
        <v>251</v>
      </c>
      <c r="I8" s="397">
        <f>'[5]Total Duration Tables'!H176*10^6/365*60/$I$21</f>
        <v>31.233640280026517</v>
      </c>
      <c r="J8" s="397">
        <f>'[6]Total Duration Tables'!H176*10^6/365*60/$J$21</f>
        <v>24.3420779511953</v>
      </c>
      <c r="K8" s="397">
        <f>'[7]Total Duration Tables'!H176*10^6/365*60/$K$21</f>
        <v>29.980041379425387</v>
      </c>
      <c r="L8" s="397">
        <f>'[8]Total Duration Tables'!H176*10^6/365*60/$L$21</f>
        <v>31.362240592510002</v>
      </c>
      <c r="M8" s="397">
        <f>'[9]Total Duration Tables'!H176*10^6/365*60/$M$21</f>
        <v>26.491756131612114</v>
      </c>
      <c r="N8" s="764"/>
      <c r="O8" s="739"/>
      <c r="P8" s="758"/>
      <c r="Q8" s="544"/>
      <c r="R8" s="544"/>
      <c r="S8" s="544"/>
      <c r="T8" s="759"/>
      <c r="W8" s="795" t="s">
        <v>251</v>
      </c>
      <c r="X8" s="796">
        <f t="shared" si="1"/>
        <v>184.70784680482257</v>
      </c>
      <c r="Y8" s="796">
        <f t="shared" si="2"/>
        <v>190.00464503682798</v>
      </c>
      <c r="Z8" s="796">
        <f t="shared" si="0"/>
        <v>148.08097420310474</v>
      </c>
      <c r="AA8" s="796">
        <f t="shared" si="0"/>
        <v>182.3785850581711</v>
      </c>
      <c r="AB8" s="796">
        <f t="shared" si="0"/>
        <v>190.78696360443584</v>
      </c>
      <c r="AC8" s="796">
        <f t="shared" si="0"/>
        <v>161.15818313397369</v>
      </c>
    </row>
    <row r="9" spans="2:29" ht="15.5" x14ac:dyDescent="0.35">
      <c r="B9" s="652" t="s">
        <v>255</v>
      </c>
      <c r="C9" s="323" t="s">
        <v>106</v>
      </c>
      <c r="D9" s="774" t="s">
        <v>252</v>
      </c>
      <c r="E9" s="188">
        <f>'[5]Total Duration Tables'!B177*10^6/365*60/$E$45</f>
        <v>15.917639558108148</v>
      </c>
      <c r="G9" s="739"/>
      <c r="H9" s="763" t="s">
        <v>252</v>
      </c>
      <c r="I9" s="397">
        <f>'[5]Total Duration Tables'!H177*10^6/365*60/$I$21</f>
        <v>13.940551610624395</v>
      </c>
      <c r="J9" s="397">
        <f>'[6]Total Duration Tables'!H177*10^6/365*60/$J$21</f>
        <v>12.806548699342228</v>
      </c>
      <c r="K9" s="397">
        <f>'[7]Total Duration Tables'!H177*10^6/365*60/$K$21</f>
        <v>12.813191030758967</v>
      </c>
      <c r="L9" s="397">
        <f>'[8]Total Duration Tables'!H177*10^6/365*60/$L$21</f>
        <v>14.21393257545329</v>
      </c>
      <c r="M9" s="397">
        <f>'[9]Total Duration Tables'!H177*10^6/365*60/$M$21</f>
        <v>12.135809648548396</v>
      </c>
      <c r="N9" s="764"/>
      <c r="O9" s="739"/>
      <c r="W9" s="795" t="s">
        <v>252</v>
      </c>
      <c r="X9" s="796">
        <f t="shared" si="1"/>
        <v>96.832307311824565</v>
      </c>
      <c r="Y9" s="796">
        <f t="shared" si="2"/>
        <v>84.805022297965067</v>
      </c>
      <c r="Z9" s="796">
        <f t="shared" si="0"/>
        <v>77.906504587665225</v>
      </c>
      <c r="AA9" s="796">
        <f t="shared" si="0"/>
        <v>77.946912103783717</v>
      </c>
      <c r="AB9" s="796">
        <f t="shared" si="0"/>
        <v>86.468089834007515</v>
      </c>
      <c r="AC9" s="796">
        <f t="shared" si="0"/>
        <v>73.826175362002729</v>
      </c>
    </row>
    <row r="10" spans="2:29" ht="15.5" x14ac:dyDescent="0.35">
      <c r="B10" s="652" t="s">
        <v>257</v>
      </c>
      <c r="C10" s="323" t="s">
        <v>368</v>
      </c>
      <c r="D10" s="774" t="s">
        <v>91</v>
      </c>
      <c r="E10" s="188">
        <f>'[5]Total Distance Tables'!B171*10^6/365/$E$45</f>
        <v>0.49804396680777757</v>
      </c>
      <c r="G10" s="739"/>
      <c r="H10" s="763" t="s">
        <v>91</v>
      </c>
      <c r="I10" s="397">
        <f>'[5]Total Distance Tables'!H171*10^6/365/$I$21</f>
        <v>0.45717936982480378</v>
      </c>
      <c r="J10" s="397">
        <f>'[6]Total Distance Tables'!H171*10^6/365/$J$21</f>
        <v>0.62080885175690137</v>
      </c>
      <c r="K10" s="397">
        <f>'[7]Total Distance Tables'!H171*10^6/365/$K$21</f>
        <v>0.50669525518657776</v>
      </c>
      <c r="L10" s="397">
        <f>'[8]Total Distance Tables'!H171*10^6/365/$L$21</f>
        <v>0.45973806370983111</v>
      </c>
      <c r="M10" s="397">
        <f>'[9]Total Distance Tables'!H171*10^6/365/$M$21</f>
        <v>0.3906467327185596</v>
      </c>
      <c r="N10" s="764"/>
      <c r="O10" s="739"/>
      <c r="V10" s="545" t="s">
        <v>460</v>
      </c>
      <c r="W10" s="795" t="s">
        <v>91</v>
      </c>
      <c r="X10" s="796">
        <f>E10*365</f>
        <v>181.78604788483881</v>
      </c>
      <c r="Y10" s="796">
        <f>I10*365</f>
        <v>166.87046998605339</v>
      </c>
      <c r="Z10" s="796">
        <f t="shared" ref="Z10:AC16" si="3">J10*365</f>
        <v>226.59523089126901</v>
      </c>
      <c r="AA10" s="796">
        <f t="shared" si="3"/>
        <v>184.9437681431009</v>
      </c>
      <c r="AB10" s="796">
        <f t="shared" si="3"/>
        <v>167.80439325408835</v>
      </c>
      <c r="AC10" s="796">
        <f t="shared" si="3"/>
        <v>142.58605744227424</v>
      </c>
    </row>
    <row r="11" spans="2:29" ht="15.5" x14ac:dyDescent="0.35">
      <c r="B11" s="652" t="s">
        <v>257</v>
      </c>
      <c r="C11" s="323" t="s">
        <v>368</v>
      </c>
      <c r="D11" s="775" t="s">
        <v>248</v>
      </c>
      <c r="E11" s="188">
        <f>'[5]Total Distance Tables'!B172*10^6/365/$E$45</f>
        <v>0.19280877535554261</v>
      </c>
      <c r="G11" s="739"/>
      <c r="H11" s="765" t="s">
        <v>248</v>
      </c>
      <c r="I11" s="397">
        <f>'[5]Total Distance Tables'!H172*10^6/365/$I$21</f>
        <v>0.20214919391112071</v>
      </c>
      <c r="J11" s="397">
        <f>'[6]Total Distance Tables'!H172*10^6/365/$J$21</f>
        <v>0.63099294082884683</v>
      </c>
      <c r="K11" s="397">
        <f>'[7]Total Distance Tables'!H172*10^6/365/$K$21</f>
        <v>0.40256127033421091</v>
      </c>
      <c r="L11" s="397">
        <f>'[8]Total Distance Tables'!H172*10^6/365/$L$21</f>
        <v>0.30221398422903023</v>
      </c>
      <c r="M11" s="397">
        <f>'[9]Total Distance Tables'!H172*10^6/365/$M$21</f>
        <v>0.27839916169813522</v>
      </c>
      <c r="N11" s="764"/>
      <c r="O11" s="739"/>
      <c r="W11" s="795" t="s">
        <v>248</v>
      </c>
      <c r="X11" s="796">
        <f t="shared" ref="X11:X16" si="4">E11*365</f>
        <v>70.375203004773056</v>
      </c>
      <c r="Y11" s="796">
        <f t="shared" ref="Y11:Y16" si="5">I11*365</f>
        <v>73.78445577755906</v>
      </c>
      <c r="Z11" s="796">
        <f t="shared" si="3"/>
        <v>230.31242340252908</v>
      </c>
      <c r="AA11" s="796">
        <f t="shared" si="3"/>
        <v>146.93486367198699</v>
      </c>
      <c r="AB11" s="796">
        <f t="shared" si="3"/>
        <v>110.30810424359603</v>
      </c>
      <c r="AC11" s="796">
        <f t="shared" si="3"/>
        <v>101.61569401981936</v>
      </c>
    </row>
    <row r="12" spans="2:29" ht="15.5" x14ac:dyDescent="0.35">
      <c r="B12" s="652" t="s">
        <v>257</v>
      </c>
      <c r="C12" s="323" t="s">
        <v>368</v>
      </c>
      <c r="D12" s="775" t="s">
        <v>193</v>
      </c>
      <c r="E12" s="188">
        <f>'[5]Total Distance Tables'!B173*10^6/365/$E$45</f>
        <v>0.28159622473451495</v>
      </c>
      <c r="G12" s="739"/>
      <c r="H12" s="765" t="s">
        <v>193</v>
      </c>
      <c r="I12" s="397">
        <f>'[5]Total Distance Tables'!H173*10^6/365/$I$21</f>
        <v>0.93394743934496371</v>
      </c>
      <c r="J12" s="397">
        <f>'[6]Total Distance Tables'!H173*10^6/365/$J$21</f>
        <v>1.0788079264223256</v>
      </c>
      <c r="K12" s="397">
        <f>'[7]Total Distance Tables'!H173*10^6/365/$K$21</f>
        <v>0.78388148002658942</v>
      </c>
      <c r="L12" s="397">
        <f>'[8]Total Distance Tables'!H173*10^6/365/$L$21</f>
        <v>0.79267690912233268</v>
      </c>
      <c r="M12" s="397">
        <f>'[9]Total Distance Tables'!H173*10^6/365/$M$21</f>
        <v>0.60150213077794179</v>
      </c>
      <c r="N12" s="764"/>
      <c r="O12" s="739"/>
      <c r="W12" s="795" t="s">
        <v>193</v>
      </c>
      <c r="X12" s="796">
        <f t="shared" si="4"/>
        <v>102.78262202809796</v>
      </c>
      <c r="Y12" s="796">
        <f t="shared" si="5"/>
        <v>340.89081536091174</v>
      </c>
      <c r="Z12" s="796">
        <f t="shared" si="3"/>
        <v>393.76489314414886</v>
      </c>
      <c r="AA12" s="796">
        <f t="shared" si="3"/>
        <v>286.11674020970514</v>
      </c>
      <c r="AB12" s="796">
        <f t="shared" si="3"/>
        <v>289.3270718296514</v>
      </c>
      <c r="AC12" s="796">
        <f t="shared" si="3"/>
        <v>219.54827773394877</v>
      </c>
    </row>
    <row r="13" spans="2:29" ht="15.5" x14ac:dyDescent="0.35">
      <c r="B13" s="652" t="s">
        <v>257</v>
      </c>
      <c r="C13" s="323" t="s">
        <v>368</v>
      </c>
      <c r="D13" s="775" t="s">
        <v>93</v>
      </c>
      <c r="E13" s="188">
        <f>'[5]Total Distance Tables'!B174*10^6/365/$E$45</f>
        <v>0.68526378137484711</v>
      </c>
      <c r="G13" s="739"/>
      <c r="H13" s="765" t="s">
        <v>93</v>
      </c>
      <c r="I13" s="397">
        <f>'[5]Total Distance Tables'!H174*10^6/365/$I$21</f>
        <v>0.84708677543021227</v>
      </c>
      <c r="J13" s="397">
        <f>'[6]Total Distance Tables'!H174*10^6/365/$J$21</f>
        <v>1.9893481971946225</v>
      </c>
      <c r="K13" s="397">
        <f>'[7]Total Distance Tables'!H174*10^6/365/$K$21</f>
        <v>0.71859996275549731</v>
      </c>
      <c r="L13" s="397">
        <f>'[8]Total Distance Tables'!H174*10^6/365/$L$21</f>
        <v>0.70371050258642187</v>
      </c>
      <c r="M13" s="397">
        <f>'[9]Total Distance Tables'!H174*10^6/365/$M$21</f>
        <v>0.56255369807726563</v>
      </c>
      <c r="N13" s="764"/>
      <c r="O13" s="739"/>
      <c r="W13" s="795" t="s">
        <v>93</v>
      </c>
      <c r="X13" s="796">
        <f t="shared" si="4"/>
        <v>250.12128020181919</v>
      </c>
      <c r="Y13" s="796">
        <f t="shared" si="5"/>
        <v>309.1866730320275</v>
      </c>
      <c r="Z13" s="796">
        <f t="shared" si="3"/>
        <v>726.11209197603728</v>
      </c>
      <c r="AA13" s="796">
        <f t="shared" si="3"/>
        <v>262.28898640575653</v>
      </c>
      <c r="AB13" s="796">
        <f t="shared" si="3"/>
        <v>256.85433344404396</v>
      </c>
      <c r="AC13" s="796">
        <f t="shared" si="3"/>
        <v>205.33209979820197</v>
      </c>
    </row>
    <row r="14" spans="2:29" ht="15.5" x14ac:dyDescent="0.35">
      <c r="B14" s="652" t="s">
        <v>257</v>
      </c>
      <c r="C14" s="323" t="s">
        <v>368</v>
      </c>
      <c r="D14" s="775" t="s">
        <v>194</v>
      </c>
      <c r="E14" s="188">
        <f>'[5]Total Distance Tables'!B175*10^6/365/$E$45</f>
        <v>0.21844466041763308</v>
      </c>
      <c r="G14" s="739"/>
      <c r="H14" s="765" t="s">
        <v>194</v>
      </c>
      <c r="I14" s="397">
        <f>'[5]Total Distance Tables'!H175*10^6/365/$I$21</f>
        <v>0.22626633244389899</v>
      </c>
      <c r="J14" s="397">
        <f>'[6]Total Distance Tables'!H175*10^6/365/$J$21</f>
        <v>0.21122903742874416</v>
      </c>
      <c r="K14" s="397">
        <f>'[7]Total Distance Tables'!H175*10^6/365/$K$21</f>
        <v>0.21929902339349372</v>
      </c>
      <c r="L14" s="397">
        <f>'[8]Total Distance Tables'!H175*10^6/365/$L$21</f>
        <v>0.23259243177801042</v>
      </c>
      <c r="M14" s="397">
        <f>'[9]Total Distance Tables'!H175*10^6/365/$M$21</f>
        <v>0.19848348145341427</v>
      </c>
      <c r="N14" s="764"/>
      <c r="O14" s="739"/>
      <c r="W14" s="795" t="s">
        <v>194</v>
      </c>
      <c r="X14" s="796">
        <f t="shared" si="4"/>
        <v>79.732301052436071</v>
      </c>
      <c r="Y14" s="796">
        <f t="shared" si="5"/>
        <v>82.587211342023124</v>
      </c>
      <c r="Z14" s="796">
        <f t="shared" si="3"/>
        <v>77.098598661491621</v>
      </c>
      <c r="AA14" s="796">
        <f t="shared" si="3"/>
        <v>80.044143538625207</v>
      </c>
      <c r="AB14" s="796">
        <f t="shared" si="3"/>
        <v>84.896237598973798</v>
      </c>
      <c r="AC14" s="796">
        <f t="shared" si="3"/>
        <v>72.446470730496202</v>
      </c>
    </row>
    <row r="15" spans="2:29" ht="15.5" x14ac:dyDescent="0.35">
      <c r="B15" s="652" t="s">
        <v>257</v>
      </c>
      <c r="C15" s="323" t="s">
        <v>368</v>
      </c>
      <c r="D15" s="775" t="s">
        <v>251</v>
      </c>
      <c r="E15" s="188">
        <f>'[5]Total Distance Tables'!B176*10^6/365/$E$45</f>
        <v>18.735509382636394</v>
      </c>
      <c r="G15" s="739"/>
      <c r="H15" s="765" t="s">
        <v>251</v>
      </c>
      <c r="I15" s="397">
        <f>'[5]Total Distance Tables'!H176*10^6/365/$I$21</f>
        <v>19.233163904191759</v>
      </c>
      <c r="J15" s="397">
        <f>'[6]Total Distance Tables'!H176*10^6/365/$J$21</f>
        <v>15.79184627730476</v>
      </c>
      <c r="K15" s="397">
        <f>'[7]Total Distance Tables'!H176*10^6/365/$K$21</f>
        <v>18.947171461927432</v>
      </c>
      <c r="L15" s="397">
        <f>'[8]Total Distance Tables'!H176*10^6/365/$L$21</f>
        <v>19.843047119648599</v>
      </c>
      <c r="M15" s="397">
        <f>'[9]Total Distance Tables'!H176*10^6/365/$M$21</f>
        <v>16.872743341989885</v>
      </c>
      <c r="N15" s="764"/>
      <c r="O15" s="739"/>
      <c r="W15" s="795" t="s">
        <v>251</v>
      </c>
      <c r="X15" s="796">
        <f t="shared" si="4"/>
        <v>6838.460924662284</v>
      </c>
      <c r="Y15" s="796">
        <f t="shared" si="5"/>
        <v>7020.1048250299918</v>
      </c>
      <c r="Z15" s="796">
        <f t="shared" si="3"/>
        <v>5764.0238912162376</v>
      </c>
      <c r="AA15" s="796">
        <f t="shared" si="3"/>
        <v>6915.717583603513</v>
      </c>
      <c r="AB15" s="796">
        <f t="shared" si="3"/>
        <v>7242.7121986717384</v>
      </c>
      <c r="AC15" s="796">
        <f t="shared" si="3"/>
        <v>6158.5513198263079</v>
      </c>
    </row>
    <row r="16" spans="2:29" ht="15.5" x14ac:dyDescent="0.35">
      <c r="B16" s="652" t="s">
        <v>257</v>
      </c>
      <c r="C16" s="323" t="s">
        <v>368</v>
      </c>
      <c r="D16" s="775" t="s">
        <v>252</v>
      </c>
      <c r="E16" s="188">
        <f>'[5]Total Distance Tables'!B177*10^6/365/$E$45</f>
        <v>10.550513653774031</v>
      </c>
      <c r="G16" s="739"/>
      <c r="H16" s="765" t="s">
        <v>252</v>
      </c>
      <c r="I16" s="397">
        <f>'[5]Total Distance Tables'!H177*10^6/365/$I$21</f>
        <v>9.415432474362623</v>
      </c>
      <c r="J16" s="397">
        <f>'[6]Total Distance Tables'!H177*10^6/365/$J$21</f>
        <v>9.1002167141563728</v>
      </c>
      <c r="K16" s="397">
        <f>'[7]Total Distance Tables'!H177*10^6/365/$K$21</f>
        <v>9.1365560392493279</v>
      </c>
      <c r="L16" s="397">
        <f>'[8]Total Distance Tables'!H177*10^6/365/$L$21</f>
        <v>10.001641278471505</v>
      </c>
      <c r="M16" s="397">
        <f>'[9]Total Distance Tables'!H177*10^6/365/$M$21</f>
        <v>8.600079066892663</v>
      </c>
      <c r="N16" s="764"/>
      <c r="O16" s="739"/>
      <c r="W16" s="795" t="s">
        <v>252</v>
      </c>
      <c r="X16" s="796">
        <f t="shared" si="4"/>
        <v>3850.9374836275215</v>
      </c>
      <c r="Y16" s="796">
        <f t="shared" si="5"/>
        <v>3436.6328531423574</v>
      </c>
      <c r="Z16" s="796">
        <f t="shared" si="3"/>
        <v>3321.5791006670761</v>
      </c>
      <c r="AA16" s="796">
        <f t="shared" si="3"/>
        <v>3334.8429543260045</v>
      </c>
      <c r="AB16" s="796">
        <f t="shared" si="3"/>
        <v>3650.5990666420994</v>
      </c>
      <c r="AC16" s="796">
        <f t="shared" si="3"/>
        <v>3139.0288594158219</v>
      </c>
    </row>
    <row r="17" spans="2:15" ht="15.5" x14ac:dyDescent="0.35">
      <c r="B17" s="653" t="s">
        <v>369</v>
      </c>
      <c r="C17" s="545"/>
      <c r="D17" s="775" t="s">
        <v>234</v>
      </c>
      <c r="E17" s="791">
        <f>E15*E21</f>
        <v>83215638.473917812</v>
      </c>
      <c r="G17" s="3"/>
      <c r="H17" s="765" t="s">
        <v>234</v>
      </c>
      <c r="I17" s="760">
        <f t="shared" ref="I17:K18" si="6">I15*I$21</f>
        <v>113908413.22257569</v>
      </c>
      <c r="J17" s="760">
        <f t="shared" si="6"/>
        <v>93527209.577337444</v>
      </c>
      <c r="K17" s="760">
        <f t="shared" si="6"/>
        <v>112214622.98326521</v>
      </c>
      <c r="L17" s="760">
        <f t="shared" ref="L17:M17" si="7">L15*L$21</f>
        <v>133531801.28696328</v>
      </c>
      <c r="M17" s="760">
        <f t="shared" si="7"/>
        <v>113543439.04558674</v>
      </c>
      <c r="N17" s="766"/>
      <c r="O17" s="188"/>
    </row>
    <row r="18" spans="2:15" ht="15.5" x14ac:dyDescent="0.35">
      <c r="B18" s="653" t="s">
        <v>369</v>
      </c>
      <c r="C18" s="545"/>
      <c r="D18" s="775" t="s">
        <v>235</v>
      </c>
      <c r="E18" s="791">
        <f>E16*E21</f>
        <v>46861161.444602735</v>
      </c>
      <c r="G18" s="3"/>
      <c r="H18" s="765" t="s">
        <v>235</v>
      </c>
      <c r="I18" s="760">
        <f t="shared" si="6"/>
        <v>55762898.829412632</v>
      </c>
      <c r="J18" s="760">
        <f t="shared" si="6"/>
        <v>53896033.489591114</v>
      </c>
      <c r="K18" s="760">
        <f t="shared" si="6"/>
        <v>54111253.142454132</v>
      </c>
      <c r="L18" s="760">
        <f t="shared" ref="L18:M18" si="8">L16*L$21</f>
        <v>67305044.819346145</v>
      </c>
      <c r="M18" s="760">
        <f t="shared" si="8"/>
        <v>57873372.072747484</v>
      </c>
      <c r="N18" s="766"/>
      <c r="O18" s="188"/>
    </row>
    <row r="19" spans="2:15" ht="15.5" x14ac:dyDescent="0.35">
      <c r="B19" s="652" t="s">
        <v>272</v>
      </c>
      <c r="C19" s="545"/>
      <c r="D19" s="775" t="s">
        <v>234</v>
      </c>
      <c r="E19" s="791">
        <f>E8*E21/60</f>
        <v>2247666.7736117807</v>
      </c>
      <c r="G19" s="3"/>
      <c r="H19" s="765" t="s">
        <v>234</v>
      </c>
      <c r="I19" s="760">
        <f t="shared" ref="I19:K20" si="9">I8/60*I$21</f>
        <v>3083020.5759742842</v>
      </c>
      <c r="J19" s="760">
        <f t="shared" si="9"/>
        <v>2402765.9444325692</v>
      </c>
      <c r="K19" s="760">
        <f t="shared" si="9"/>
        <v>2959279.9178274474</v>
      </c>
      <c r="L19" s="760">
        <f t="shared" ref="L19:M19" si="10">L8/60*L$21</f>
        <v>3517484.3640539469</v>
      </c>
      <c r="M19" s="760">
        <f t="shared" si="10"/>
        <v>2971227.0618678425</v>
      </c>
      <c r="N19" s="766"/>
      <c r="O19" s="188"/>
    </row>
    <row r="20" spans="2:15" ht="15.5" x14ac:dyDescent="0.35">
      <c r="B20" s="652" t="s">
        <v>272</v>
      </c>
      <c r="C20" s="545"/>
      <c r="D20" s="774" t="s">
        <v>235</v>
      </c>
      <c r="E20" s="791">
        <f>E9*E21/60</f>
        <v>1178329.7976882192</v>
      </c>
      <c r="G20" s="3"/>
      <c r="H20" s="763" t="s">
        <v>235</v>
      </c>
      <c r="I20" s="760">
        <f t="shared" si="9"/>
        <v>1376048.6152320495</v>
      </c>
      <c r="J20" s="760">
        <f t="shared" si="9"/>
        <v>1264113.077864239</v>
      </c>
      <c r="K20" s="760">
        <f t="shared" si="9"/>
        <v>1264768.7313278329</v>
      </c>
      <c r="L20" s="760">
        <f t="shared" ref="L20:M20" si="11">L9/60*L$21</f>
        <v>1594187.2978875895</v>
      </c>
      <c r="M20" s="760">
        <f t="shared" si="11"/>
        <v>1361111.9574823596</v>
      </c>
      <c r="N20" s="766"/>
      <c r="O20" s="188"/>
    </row>
    <row r="21" spans="2:15" ht="15.5" x14ac:dyDescent="0.35">
      <c r="B21" s="653" t="s">
        <v>173</v>
      </c>
      <c r="C21" s="545"/>
      <c r="D21" s="775" t="s">
        <v>173</v>
      </c>
      <c r="E21" s="791">
        <f>E45</f>
        <v>4441600</v>
      </c>
      <c r="G21" s="1"/>
      <c r="H21" s="765" t="s">
        <v>173</v>
      </c>
      <c r="I21" s="760">
        <f>[10]Population!$N$39</f>
        <v>5922500</v>
      </c>
      <c r="J21" s="760">
        <f>[10]Population!$N$39</f>
        <v>5922500</v>
      </c>
      <c r="K21" s="760">
        <f>[11]Population!$N$39</f>
        <v>5922499.9999999991</v>
      </c>
      <c r="L21" s="760">
        <f>[12]Population!$N$39</f>
        <v>6729400</v>
      </c>
      <c r="M21" s="760">
        <f>[13]Population!$N$39</f>
        <v>6729400</v>
      </c>
      <c r="N21" s="766"/>
      <c r="O21" s="188"/>
    </row>
    <row r="22" spans="2:15" ht="18.5" thickBot="1" x14ac:dyDescent="0.45">
      <c r="B22" s="740"/>
      <c r="C22" s="545"/>
      <c r="D22" s="545"/>
      <c r="H22" s="758"/>
      <c r="I22" s="544"/>
      <c r="J22" s="544"/>
      <c r="K22" s="544"/>
      <c r="L22" s="544"/>
      <c r="M22" s="544"/>
      <c r="N22" s="759"/>
    </row>
    <row r="23" spans="2:15" s="545" customFormat="1" ht="18" x14ac:dyDescent="0.4">
      <c r="B23" s="740"/>
      <c r="H23" s="263"/>
      <c r="I23" s="263"/>
      <c r="J23" s="263"/>
      <c r="K23" s="263"/>
      <c r="L23" s="263"/>
      <c r="M23" s="263"/>
      <c r="N23" s="263"/>
    </row>
    <row r="24" spans="2:15" ht="18" x14ac:dyDescent="0.4">
      <c r="B24" s="740"/>
      <c r="C24" s="545"/>
      <c r="D24" s="545"/>
    </row>
    <row r="25" spans="2:15" ht="13.5" thickBot="1" x14ac:dyDescent="0.35">
      <c r="B25" s="736" t="s">
        <v>57</v>
      </c>
      <c r="C25" s="545"/>
      <c r="D25" s="545"/>
    </row>
    <row r="26" spans="2:15" ht="15.5" x14ac:dyDescent="0.35">
      <c r="B26" s="422" t="s">
        <v>201</v>
      </c>
      <c r="C26" s="323" t="s">
        <v>409</v>
      </c>
      <c r="D26" s="749" t="s">
        <v>208</v>
      </c>
      <c r="E26" s="750" t="s">
        <v>365</v>
      </c>
      <c r="F26" s="751"/>
    </row>
    <row r="27" spans="2:15" x14ac:dyDescent="0.25">
      <c r="B27" s="652" t="s">
        <v>255</v>
      </c>
      <c r="C27" s="323" t="s">
        <v>106</v>
      </c>
      <c r="D27" s="752" t="s">
        <v>251</v>
      </c>
      <c r="E27" s="753">
        <f>E8</f>
        <v>30.362933721340696</v>
      </c>
      <c r="F27" s="754"/>
    </row>
    <row r="28" spans="2:15" x14ac:dyDescent="0.25">
      <c r="B28" s="652" t="s">
        <v>255</v>
      </c>
      <c r="C28" s="323" t="s">
        <v>106</v>
      </c>
      <c r="D28" s="752" t="s">
        <v>252</v>
      </c>
      <c r="E28" s="753">
        <f>E9</f>
        <v>15.917639558108148</v>
      </c>
      <c r="F28" s="754"/>
    </row>
    <row r="29" spans="2:15" x14ac:dyDescent="0.25">
      <c r="B29" s="652" t="s">
        <v>255</v>
      </c>
      <c r="C29" s="323" t="s">
        <v>106</v>
      </c>
      <c r="D29" s="752" t="s">
        <v>248</v>
      </c>
      <c r="E29" s="753">
        <f>E4</f>
        <v>0.92258862520478857</v>
      </c>
      <c r="F29" s="754"/>
    </row>
    <row r="30" spans="2:15" x14ac:dyDescent="0.25">
      <c r="B30" s="652" t="s">
        <v>255</v>
      </c>
      <c r="C30" s="323" t="s">
        <v>106</v>
      </c>
      <c r="D30" s="752" t="s">
        <v>93</v>
      </c>
      <c r="E30" s="753">
        <f>E6</f>
        <v>1.9604337253308775</v>
      </c>
      <c r="F30" s="754"/>
    </row>
    <row r="31" spans="2:15" x14ac:dyDescent="0.25">
      <c r="B31" s="652" t="s">
        <v>255</v>
      </c>
      <c r="C31" s="323" t="s">
        <v>106</v>
      </c>
      <c r="D31" s="752" t="s">
        <v>194</v>
      </c>
      <c r="E31" s="753">
        <f>E7</f>
        <v>0.66384844760755146</v>
      </c>
      <c r="F31" s="754"/>
    </row>
    <row r="32" spans="2:15" x14ac:dyDescent="0.25">
      <c r="B32" s="652" t="s">
        <v>255</v>
      </c>
      <c r="C32" s="323" t="s">
        <v>106</v>
      </c>
      <c r="D32" s="752" t="s">
        <v>193</v>
      </c>
      <c r="E32" s="753">
        <f>E5</f>
        <v>0.44211907209217155</v>
      </c>
      <c r="F32" s="754"/>
    </row>
    <row r="33" spans="2:6" x14ac:dyDescent="0.25">
      <c r="B33" s="652" t="s">
        <v>255</v>
      </c>
      <c r="C33" s="323" t="s">
        <v>106</v>
      </c>
      <c r="D33" s="752" t="s">
        <v>91</v>
      </c>
      <c r="E33" s="753">
        <f>E3</f>
        <v>7.5875798088939934</v>
      </c>
      <c r="F33" s="754"/>
    </row>
    <row r="34" spans="2:6" x14ac:dyDescent="0.25">
      <c r="B34" s="652" t="s">
        <v>257</v>
      </c>
      <c r="C34" s="323" t="s">
        <v>368</v>
      </c>
      <c r="D34" s="752" t="s">
        <v>251</v>
      </c>
      <c r="E34" s="753">
        <f>E15</f>
        <v>18.735509382636394</v>
      </c>
      <c r="F34" s="754"/>
    </row>
    <row r="35" spans="2:6" x14ac:dyDescent="0.25">
      <c r="B35" s="652" t="s">
        <v>257</v>
      </c>
      <c r="C35" s="323" t="s">
        <v>368</v>
      </c>
      <c r="D35" s="752" t="s">
        <v>252</v>
      </c>
      <c r="E35" s="753">
        <f>E16</f>
        <v>10.550513653774031</v>
      </c>
      <c r="F35" s="754"/>
    </row>
    <row r="36" spans="2:6" x14ac:dyDescent="0.25">
      <c r="B36" s="652" t="s">
        <v>257</v>
      </c>
      <c r="C36" s="323" t="s">
        <v>368</v>
      </c>
      <c r="D36" s="752" t="s">
        <v>248</v>
      </c>
      <c r="E36" s="753">
        <f>E11</f>
        <v>0.19280877535554261</v>
      </c>
      <c r="F36" s="754"/>
    </row>
    <row r="37" spans="2:6" x14ac:dyDescent="0.25">
      <c r="B37" s="652" t="s">
        <v>257</v>
      </c>
      <c r="C37" s="323" t="s">
        <v>368</v>
      </c>
      <c r="D37" s="752" t="s">
        <v>93</v>
      </c>
      <c r="E37" s="753">
        <f>E13</f>
        <v>0.68526378137484711</v>
      </c>
      <c r="F37" s="754"/>
    </row>
    <row r="38" spans="2:6" x14ac:dyDescent="0.25">
      <c r="B38" s="652" t="s">
        <v>257</v>
      </c>
      <c r="C38" s="323" t="s">
        <v>368</v>
      </c>
      <c r="D38" s="752" t="s">
        <v>194</v>
      </c>
      <c r="E38" s="753">
        <f>E14</f>
        <v>0.21844466041763308</v>
      </c>
      <c r="F38" s="754"/>
    </row>
    <row r="39" spans="2:6" x14ac:dyDescent="0.25">
      <c r="B39" s="652" t="s">
        <v>257</v>
      </c>
      <c r="C39" s="323" t="s">
        <v>368</v>
      </c>
      <c r="D39" s="752" t="s">
        <v>193</v>
      </c>
      <c r="E39" s="753">
        <f>E12</f>
        <v>0.28159622473451495</v>
      </c>
      <c r="F39" s="754"/>
    </row>
    <row r="40" spans="2:6" x14ac:dyDescent="0.25">
      <c r="B40" s="652" t="s">
        <v>257</v>
      </c>
      <c r="C40" s="323" t="s">
        <v>368</v>
      </c>
      <c r="D40" s="752" t="s">
        <v>91</v>
      </c>
      <c r="E40" s="753">
        <f>E10</f>
        <v>0.49804396680777757</v>
      </c>
      <c r="F40" s="754"/>
    </row>
    <row r="41" spans="2:6" x14ac:dyDescent="0.25">
      <c r="B41" s="653" t="s">
        <v>369</v>
      </c>
      <c r="C41" s="323" t="s">
        <v>368</v>
      </c>
      <c r="D41" s="752" t="s">
        <v>251</v>
      </c>
      <c r="E41" s="755">
        <f>E34*$E$45</f>
        <v>83215638.473917812</v>
      </c>
      <c r="F41" s="756"/>
    </row>
    <row r="42" spans="2:6" x14ac:dyDescent="0.25">
      <c r="B42" s="653" t="s">
        <v>369</v>
      </c>
      <c r="C42" s="323" t="s">
        <v>368</v>
      </c>
      <c r="D42" s="752" t="s">
        <v>252</v>
      </c>
      <c r="E42" s="755">
        <f>E35*$E$45</f>
        <v>46861161.444602735</v>
      </c>
      <c r="F42" s="756"/>
    </row>
    <row r="43" spans="2:6" x14ac:dyDescent="0.25">
      <c r="B43" s="652" t="s">
        <v>272</v>
      </c>
      <c r="C43" s="323" t="s">
        <v>410</v>
      </c>
      <c r="D43" s="752" t="s">
        <v>251</v>
      </c>
      <c r="E43" s="755">
        <f>E27/60*$E$45</f>
        <v>2247666.7736117803</v>
      </c>
      <c r="F43" s="756"/>
    </row>
    <row r="44" spans="2:6" x14ac:dyDescent="0.25">
      <c r="B44" s="652" t="s">
        <v>272</v>
      </c>
      <c r="C44" s="323" t="s">
        <v>410</v>
      </c>
      <c r="D44" s="752" t="s">
        <v>252</v>
      </c>
      <c r="E44" s="755">
        <f>E28/60*$E$45</f>
        <v>1178329.7976882192</v>
      </c>
      <c r="F44" s="756"/>
    </row>
    <row r="45" spans="2:6" x14ac:dyDescent="0.25">
      <c r="B45" s="653" t="s">
        <v>173</v>
      </c>
      <c r="D45" s="757"/>
      <c r="E45" s="755">
        <f>[10]Population!$D$39</f>
        <v>4441600</v>
      </c>
      <c r="F45" s="756"/>
    </row>
    <row r="46" spans="2:6" ht="13" thickBot="1" x14ac:dyDescent="0.3">
      <c r="D46" s="758"/>
      <c r="E46" s="544"/>
      <c r="F46" s="759"/>
    </row>
    <row r="47" spans="2:6" x14ac:dyDescent="0.25">
      <c r="B47" s="545"/>
      <c r="C47" s="545"/>
      <c r="D47" s="263"/>
      <c r="E47" s="263"/>
      <c r="F47" s="263"/>
    </row>
  </sheetData>
  <mergeCells count="1">
    <mergeCell ref="I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27"/>
  <sheetViews>
    <sheetView workbookViewId="0">
      <selection activeCell="G62" sqref="G62"/>
    </sheetView>
  </sheetViews>
  <sheetFormatPr defaultColWidth="8.81640625" defaultRowHeight="14.5" x14ac:dyDescent="0.35"/>
  <cols>
    <col min="1" max="1" width="14.1796875" style="127" customWidth="1"/>
    <col min="2" max="2" width="19.81640625" style="127" customWidth="1"/>
    <col min="3" max="3" width="12.81640625" style="126" bestFit="1" customWidth="1"/>
    <col min="4" max="4" width="14.1796875" style="126" customWidth="1"/>
    <col min="5" max="14" width="12.7265625" style="126" customWidth="1"/>
    <col min="15" max="15" width="12" style="126" customWidth="1"/>
    <col min="16" max="16" width="11" style="126" customWidth="1"/>
    <col min="17" max="17" width="8.81640625" style="126"/>
    <col min="18" max="18" width="11.54296875" style="126" bestFit="1" customWidth="1"/>
    <col min="19" max="257" width="8.81640625" style="126"/>
    <col min="258" max="258" width="14.1796875" style="126" customWidth="1"/>
    <col min="259" max="259" width="22.7265625" style="126" customWidth="1"/>
    <col min="260" max="267" width="12.7265625" style="126" customWidth="1"/>
    <col min="268" max="513" width="8.81640625" style="126"/>
    <col min="514" max="514" width="14.1796875" style="126" customWidth="1"/>
    <col min="515" max="515" width="22.7265625" style="126" customWidth="1"/>
    <col min="516" max="523" width="12.7265625" style="126" customWidth="1"/>
    <col min="524" max="769" width="8.81640625" style="126"/>
    <col min="770" max="770" width="14.1796875" style="126" customWidth="1"/>
    <col min="771" max="771" width="22.7265625" style="126" customWidth="1"/>
    <col min="772" max="779" width="12.7265625" style="126" customWidth="1"/>
    <col min="780" max="1025" width="8.81640625" style="126"/>
    <col min="1026" max="1026" width="14.1796875" style="126" customWidth="1"/>
    <col min="1027" max="1027" width="22.7265625" style="126" customWidth="1"/>
    <col min="1028" max="1035" width="12.7265625" style="126" customWidth="1"/>
    <col min="1036" max="1281" width="8.81640625" style="126"/>
    <col min="1282" max="1282" width="14.1796875" style="126" customWidth="1"/>
    <col min="1283" max="1283" width="22.7265625" style="126" customWidth="1"/>
    <col min="1284" max="1291" width="12.7265625" style="126" customWidth="1"/>
    <col min="1292" max="1537" width="8.81640625" style="126"/>
    <col min="1538" max="1538" width="14.1796875" style="126" customWidth="1"/>
    <col min="1539" max="1539" width="22.7265625" style="126" customWidth="1"/>
    <col min="1540" max="1547" width="12.7265625" style="126" customWidth="1"/>
    <col min="1548" max="1793" width="8.81640625" style="126"/>
    <col min="1794" max="1794" width="14.1796875" style="126" customWidth="1"/>
    <col min="1795" max="1795" width="22.7265625" style="126" customWidth="1"/>
    <col min="1796" max="1803" width="12.7265625" style="126" customWidth="1"/>
    <col min="1804" max="2049" width="8.81640625" style="126"/>
    <col min="2050" max="2050" width="14.1796875" style="126" customWidth="1"/>
    <col min="2051" max="2051" width="22.7265625" style="126" customWidth="1"/>
    <col min="2052" max="2059" width="12.7265625" style="126" customWidth="1"/>
    <col min="2060" max="2305" width="8.81640625" style="126"/>
    <col min="2306" max="2306" width="14.1796875" style="126" customWidth="1"/>
    <col min="2307" max="2307" width="22.7265625" style="126" customWidth="1"/>
    <col min="2308" max="2315" width="12.7265625" style="126" customWidth="1"/>
    <col min="2316" max="2561" width="8.81640625" style="126"/>
    <col min="2562" max="2562" width="14.1796875" style="126" customWidth="1"/>
    <col min="2563" max="2563" width="22.7265625" style="126" customWidth="1"/>
    <col min="2564" max="2571" width="12.7265625" style="126" customWidth="1"/>
    <col min="2572" max="2817" width="8.81640625" style="126"/>
    <col min="2818" max="2818" width="14.1796875" style="126" customWidth="1"/>
    <col min="2819" max="2819" width="22.7265625" style="126" customWidth="1"/>
    <col min="2820" max="2827" width="12.7265625" style="126" customWidth="1"/>
    <col min="2828" max="3073" width="8.81640625" style="126"/>
    <col min="3074" max="3074" width="14.1796875" style="126" customWidth="1"/>
    <col min="3075" max="3075" width="22.7265625" style="126" customWidth="1"/>
    <col min="3076" max="3083" width="12.7265625" style="126" customWidth="1"/>
    <col min="3084" max="3329" width="8.81640625" style="126"/>
    <col min="3330" max="3330" width="14.1796875" style="126" customWidth="1"/>
    <col min="3331" max="3331" width="22.7265625" style="126" customWidth="1"/>
    <col min="3332" max="3339" width="12.7265625" style="126" customWidth="1"/>
    <col min="3340" max="3585" width="8.81640625" style="126"/>
    <col min="3586" max="3586" width="14.1796875" style="126" customWidth="1"/>
    <col min="3587" max="3587" width="22.7265625" style="126" customWidth="1"/>
    <col min="3588" max="3595" width="12.7265625" style="126" customWidth="1"/>
    <col min="3596" max="3841" width="8.81640625" style="126"/>
    <col min="3842" max="3842" width="14.1796875" style="126" customWidth="1"/>
    <col min="3843" max="3843" width="22.7265625" style="126" customWidth="1"/>
    <col min="3844" max="3851" width="12.7265625" style="126" customWidth="1"/>
    <col min="3852" max="4097" width="8.81640625" style="126"/>
    <col min="4098" max="4098" width="14.1796875" style="126" customWidth="1"/>
    <col min="4099" max="4099" width="22.7265625" style="126" customWidth="1"/>
    <col min="4100" max="4107" width="12.7265625" style="126" customWidth="1"/>
    <col min="4108" max="4353" width="8.81640625" style="126"/>
    <col min="4354" max="4354" width="14.1796875" style="126" customWidth="1"/>
    <col min="4355" max="4355" width="22.7265625" style="126" customWidth="1"/>
    <col min="4356" max="4363" width="12.7265625" style="126" customWidth="1"/>
    <col min="4364" max="4609" width="8.81640625" style="126"/>
    <col min="4610" max="4610" width="14.1796875" style="126" customWidth="1"/>
    <col min="4611" max="4611" width="22.7265625" style="126" customWidth="1"/>
    <col min="4612" max="4619" width="12.7265625" style="126" customWidth="1"/>
    <col min="4620" max="4865" width="8.81640625" style="126"/>
    <col min="4866" max="4866" width="14.1796875" style="126" customWidth="1"/>
    <col min="4867" max="4867" width="22.7265625" style="126" customWidth="1"/>
    <col min="4868" max="4875" width="12.7265625" style="126" customWidth="1"/>
    <col min="4876" max="5121" width="8.81640625" style="126"/>
    <col min="5122" max="5122" width="14.1796875" style="126" customWidth="1"/>
    <col min="5123" max="5123" width="22.7265625" style="126" customWidth="1"/>
    <col min="5124" max="5131" width="12.7265625" style="126" customWidth="1"/>
    <col min="5132" max="5377" width="8.81640625" style="126"/>
    <col min="5378" max="5378" width="14.1796875" style="126" customWidth="1"/>
    <col min="5379" max="5379" width="22.7265625" style="126" customWidth="1"/>
    <col min="5380" max="5387" width="12.7265625" style="126" customWidth="1"/>
    <col min="5388" max="5633" width="8.81640625" style="126"/>
    <col min="5634" max="5634" width="14.1796875" style="126" customWidth="1"/>
    <col min="5635" max="5635" width="22.7265625" style="126" customWidth="1"/>
    <col min="5636" max="5643" width="12.7265625" style="126" customWidth="1"/>
    <col min="5644" max="5889" width="8.81640625" style="126"/>
    <col min="5890" max="5890" width="14.1796875" style="126" customWidth="1"/>
    <col min="5891" max="5891" width="22.7265625" style="126" customWidth="1"/>
    <col min="5892" max="5899" width="12.7265625" style="126" customWidth="1"/>
    <col min="5900" max="6145" width="8.81640625" style="126"/>
    <col min="6146" max="6146" width="14.1796875" style="126" customWidth="1"/>
    <col min="6147" max="6147" width="22.7265625" style="126" customWidth="1"/>
    <col min="6148" max="6155" width="12.7265625" style="126" customWidth="1"/>
    <col min="6156" max="6401" width="8.81640625" style="126"/>
    <col min="6402" max="6402" width="14.1796875" style="126" customWidth="1"/>
    <col min="6403" max="6403" width="22.7265625" style="126" customWidth="1"/>
    <col min="6404" max="6411" width="12.7265625" style="126" customWidth="1"/>
    <col min="6412" max="6657" width="8.81640625" style="126"/>
    <col min="6658" max="6658" width="14.1796875" style="126" customWidth="1"/>
    <col min="6659" max="6659" width="22.7265625" style="126" customWidth="1"/>
    <col min="6660" max="6667" width="12.7265625" style="126" customWidth="1"/>
    <col min="6668" max="6913" width="8.81640625" style="126"/>
    <col min="6914" max="6914" width="14.1796875" style="126" customWidth="1"/>
    <col min="6915" max="6915" width="22.7265625" style="126" customWidth="1"/>
    <col min="6916" max="6923" width="12.7265625" style="126" customWidth="1"/>
    <col min="6924" max="7169" width="8.81640625" style="126"/>
    <col min="7170" max="7170" width="14.1796875" style="126" customWidth="1"/>
    <col min="7171" max="7171" width="22.7265625" style="126" customWidth="1"/>
    <col min="7172" max="7179" width="12.7265625" style="126" customWidth="1"/>
    <col min="7180" max="7425" width="8.81640625" style="126"/>
    <col min="7426" max="7426" width="14.1796875" style="126" customWidth="1"/>
    <col min="7427" max="7427" width="22.7265625" style="126" customWidth="1"/>
    <col min="7428" max="7435" width="12.7265625" style="126" customWidth="1"/>
    <col min="7436" max="7681" width="8.81640625" style="126"/>
    <col min="7682" max="7682" width="14.1796875" style="126" customWidth="1"/>
    <col min="7683" max="7683" width="22.7265625" style="126" customWidth="1"/>
    <col min="7684" max="7691" width="12.7265625" style="126" customWidth="1"/>
    <col min="7692" max="7937" width="8.81640625" style="126"/>
    <col min="7938" max="7938" width="14.1796875" style="126" customWidth="1"/>
    <col min="7939" max="7939" width="22.7265625" style="126" customWidth="1"/>
    <col min="7940" max="7947" width="12.7265625" style="126" customWidth="1"/>
    <col min="7948" max="8193" width="8.81640625" style="126"/>
    <col min="8194" max="8194" width="14.1796875" style="126" customWidth="1"/>
    <col min="8195" max="8195" width="22.7265625" style="126" customWidth="1"/>
    <col min="8196" max="8203" width="12.7265625" style="126" customWidth="1"/>
    <col min="8204" max="8449" width="8.81640625" style="126"/>
    <col min="8450" max="8450" width="14.1796875" style="126" customWidth="1"/>
    <col min="8451" max="8451" width="22.7265625" style="126" customWidth="1"/>
    <col min="8452" max="8459" width="12.7265625" style="126" customWidth="1"/>
    <col min="8460" max="8705" width="8.81640625" style="126"/>
    <col min="8706" max="8706" width="14.1796875" style="126" customWidth="1"/>
    <col min="8707" max="8707" width="22.7265625" style="126" customWidth="1"/>
    <col min="8708" max="8715" width="12.7265625" style="126" customWidth="1"/>
    <col min="8716" max="8961" width="8.81640625" style="126"/>
    <col min="8962" max="8962" width="14.1796875" style="126" customWidth="1"/>
    <col min="8963" max="8963" width="22.7265625" style="126" customWidth="1"/>
    <col min="8964" max="8971" width="12.7265625" style="126" customWidth="1"/>
    <col min="8972" max="9217" width="8.81640625" style="126"/>
    <col min="9218" max="9218" width="14.1796875" style="126" customWidth="1"/>
    <col min="9219" max="9219" width="22.7265625" style="126" customWidth="1"/>
    <col min="9220" max="9227" width="12.7265625" style="126" customWidth="1"/>
    <col min="9228" max="9473" width="8.81640625" style="126"/>
    <col min="9474" max="9474" width="14.1796875" style="126" customWidth="1"/>
    <col min="9475" max="9475" width="22.7265625" style="126" customWidth="1"/>
    <col min="9476" max="9483" width="12.7265625" style="126" customWidth="1"/>
    <col min="9484" max="9729" width="8.81640625" style="126"/>
    <col min="9730" max="9730" width="14.1796875" style="126" customWidth="1"/>
    <col min="9731" max="9731" width="22.7265625" style="126" customWidth="1"/>
    <col min="9732" max="9739" width="12.7265625" style="126" customWidth="1"/>
    <col min="9740" max="9985" width="8.81640625" style="126"/>
    <col min="9986" max="9986" width="14.1796875" style="126" customWidth="1"/>
    <col min="9987" max="9987" width="22.7265625" style="126" customWidth="1"/>
    <col min="9988" max="9995" width="12.7265625" style="126" customWidth="1"/>
    <col min="9996" max="10241" width="8.81640625" style="126"/>
    <col min="10242" max="10242" width="14.1796875" style="126" customWidth="1"/>
    <col min="10243" max="10243" width="22.7265625" style="126" customWidth="1"/>
    <col min="10244" max="10251" width="12.7265625" style="126" customWidth="1"/>
    <col min="10252" max="10497" width="8.81640625" style="126"/>
    <col min="10498" max="10498" width="14.1796875" style="126" customWidth="1"/>
    <col min="10499" max="10499" width="22.7265625" style="126" customWidth="1"/>
    <col min="10500" max="10507" width="12.7265625" style="126" customWidth="1"/>
    <col min="10508" max="10753" width="8.81640625" style="126"/>
    <col min="10754" max="10754" width="14.1796875" style="126" customWidth="1"/>
    <col min="10755" max="10755" width="22.7265625" style="126" customWidth="1"/>
    <col min="10756" max="10763" width="12.7265625" style="126" customWidth="1"/>
    <col min="10764" max="11009" width="8.81640625" style="126"/>
    <col min="11010" max="11010" width="14.1796875" style="126" customWidth="1"/>
    <col min="11011" max="11011" width="22.7265625" style="126" customWidth="1"/>
    <col min="11012" max="11019" width="12.7265625" style="126" customWidth="1"/>
    <col min="11020" max="11265" width="8.81640625" style="126"/>
    <col min="11266" max="11266" width="14.1796875" style="126" customWidth="1"/>
    <col min="11267" max="11267" width="22.7265625" style="126" customWidth="1"/>
    <col min="11268" max="11275" width="12.7265625" style="126" customWidth="1"/>
    <col min="11276" max="11521" width="8.81640625" style="126"/>
    <col min="11522" max="11522" width="14.1796875" style="126" customWidth="1"/>
    <col min="11523" max="11523" width="22.7265625" style="126" customWidth="1"/>
    <col min="11524" max="11531" width="12.7265625" style="126" customWidth="1"/>
    <col min="11532" max="11777" width="8.81640625" style="126"/>
    <col min="11778" max="11778" width="14.1796875" style="126" customWidth="1"/>
    <col min="11779" max="11779" width="22.7265625" style="126" customWidth="1"/>
    <col min="11780" max="11787" width="12.7265625" style="126" customWidth="1"/>
    <col min="11788" max="12033" width="8.81640625" style="126"/>
    <col min="12034" max="12034" width="14.1796875" style="126" customWidth="1"/>
    <col min="12035" max="12035" width="22.7265625" style="126" customWidth="1"/>
    <col min="12036" max="12043" width="12.7265625" style="126" customWidth="1"/>
    <col min="12044" max="12289" width="8.81640625" style="126"/>
    <col min="12290" max="12290" width="14.1796875" style="126" customWidth="1"/>
    <col min="12291" max="12291" width="22.7265625" style="126" customWidth="1"/>
    <col min="12292" max="12299" width="12.7265625" style="126" customWidth="1"/>
    <col min="12300" max="12545" width="8.81640625" style="126"/>
    <col min="12546" max="12546" width="14.1796875" style="126" customWidth="1"/>
    <col min="12547" max="12547" width="22.7265625" style="126" customWidth="1"/>
    <col min="12548" max="12555" width="12.7265625" style="126" customWidth="1"/>
    <col min="12556" max="12801" width="8.81640625" style="126"/>
    <col min="12802" max="12802" width="14.1796875" style="126" customWidth="1"/>
    <col min="12803" max="12803" width="22.7265625" style="126" customWidth="1"/>
    <col min="12804" max="12811" width="12.7265625" style="126" customWidth="1"/>
    <col min="12812" max="13057" width="8.81640625" style="126"/>
    <col min="13058" max="13058" width="14.1796875" style="126" customWidth="1"/>
    <col min="13059" max="13059" width="22.7265625" style="126" customWidth="1"/>
    <col min="13060" max="13067" width="12.7265625" style="126" customWidth="1"/>
    <col min="13068" max="13313" width="8.81640625" style="126"/>
    <col min="13314" max="13314" width="14.1796875" style="126" customWidth="1"/>
    <col min="13315" max="13315" width="22.7265625" style="126" customWidth="1"/>
    <col min="13316" max="13323" width="12.7265625" style="126" customWidth="1"/>
    <col min="13324" max="13569" width="8.81640625" style="126"/>
    <col min="13570" max="13570" width="14.1796875" style="126" customWidth="1"/>
    <col min="13571" max="13571" width="22.7265625" style="126" customWidth="1"/>
    <col min="13572" max="13579" width="12.7265625" style="126" customWidth="1"/>
    <col min="13580" max="13825" width="8.81640625" style="126"/>
    <col min="13826" max="13826" width="14.1796875" style="126" customWidth="1"/>
    <col min="13827" max="13827" width="22.7265625" style="126" customWidth="1"/>
    <col min="13828" max="13835" width="12.7265625" style="126" customWidth="1"/>
    <col min="13836" max="14081" width="8.81640625" style="126"/>
    <col min="14082" max="14082" width="14.1796875" style="126" customWidth="1"/>
    <col min="14083" max="14083" width="22.7265625" style="126" customWidth="1"/>
    <col min="14084" max="14091" width="12.7265625" style="126" customWidth="1"/>
    <col min="14092" max="14337" width="8.81640625" style="126"/>
    <col min="14338" max="14338" width="14.1796875" style="126" customWidth="1"/>
    <col min="14339" max="14339" width="22.7265625" style="126" customWidth="1"/>
    <col min="14340" max="14347" width="12.7265625" style="126" customWidth="1"/>
    <col min="14348" max="14593" width="8.81640625" style="126"/>
    <col min="14594" max="14594" width="14.1796875" style="126" customWidth="1"/>
    <col min="14595" max="14595" width="22.7265625" style="126" customWidth="1"/>
    <col min="14596" max="14603" width="12.7265625" style="126" customWidth="1"/>
    <col min="14604" max="14849" width="8.81640625" style="126"/>
    <col min="14850" max="14850" width="14.1796875" style="126" customWidth="1"/>
    <col min="14851" max="14851" width="22.7265625" style="126" customWidth="1"/>
    <col min="14852" max="14859" width="12.7265625" style="126" customWidth="1"/>
    <col min="14860" max="15105" width="8.81640625" style="126"/>
    <col min="15106" max="15106" width="14.1796875" style="126" customWidth="1"/>
    <col min="15107" max="15107" width="22.7265625" style="126" customWidth="1"/>
    <col min="15108" max="15115" width="12.7265625" style="126" customWidth="1"/>
    <col min="15116" max="15361" width="8.81640625" style="126"/>
    <col min="15362" max="15362" width="14.1796875" style="126" customWidth="1"/>
    <col min="15363" max="15363" width="22.7265625" style="126" customWidth="1"/>
    <col min="15364" max="15371" width="12.7265625" style="126" customWidth="1"/>
    <col min="15372" max="15617" width="8.81640625" style="126"/>
    <col min="15618" max="15618" width="14.1796875" style="126" customWidth="1"/>
    <col min="15619" max="15619" width="22.7265625" style="126" customWidth="1"/>
    <col min="15620" max="15627" width="12.7265625" style="126" customWidth="1"/>
    <col min="15628" max="15873" width="8.81640625" style="126"/>
    <col min="15874" max="15874" width="14.1796875" style="126" customWidth="1"/>
    <col min="15875" max="15875" width="22.7265625" style="126" customWidth="1"/>
    <col min="15876" max="15883" width="12.7265625" style="126" customWidth="1"/>
    <col min="15884" max="16129" width="8.81640625" style="126"/>
    <col min="16130" max="16130" width="14.1796875" style="126" customWidth="1"/>
    <col min="16131" max="16131" width="22.7265625" style="126" customWidth="1"/>
    <col min="16132" max="16139" width="12.7265625" style="126" customWidth="1"/>
    <col min="16140" max="16384" width="8.81640625" style="126"/>
  </cols>
  <sheetData>
    <row r="1" spans="1:16" ht="15" thickBot="1" x14ac:dyDescent="0.4"/>
    <row r="2" spans="1:16" x14ac:dyDescent="0.35">
      <c r="A2" s="930" t="s">
        <v>357</v>
      </c>
      <c r="B2" s="931"/>
    </row>
    <row r="3" spans="1:16" ht="23.25" customHeight="1" thickBot="1" x14ac:dyDescent="0.6">
      <c r="A3" s="932"/>
      <c r="B3" s="933"/>
      <c r="C3" s="904" t="str">
        <f>"Scenarios for "&amp;'Calibration Data'!G2</f>
        <v>Scenarios for NZ</v>
      </c>
      <c r="D3" s="904"/>
      <c r="E3" s="904"/>
      <c r="F3" s="904"/>
      <c r="G3" s="904"/>
      <c r="H3" s="904"/>
      <c r="I3" s="904"/>
      <c r="J3" s="904"/>
      <c r="K3" s="904"/>
      <c r="L3" s="904"/>
      <c r="M3" s="904"/>
      <c r="N3" s="904"/>
      <c r="O3" s="904"/>
      <c r="P3" s="904"/>
    </row>
    <row r="4" spans="1:16" ht="31.5" customHeight="1" x14ac:dyDescent="0.35">
      <c r="A4" s="145"/>
      <c r="B4" s="146" t="s">
        <v>285</v>
      </c>
      <c r="C4" s="939" t="str">
        <f>IF('user page'!R38=1,(VLOOKUP(C5,'Scenario Data'!$C$2:$H$1113,6,FALSE)&amp;" (0)"),"Calibration Data Baseline")</f>
        <v>Baseline 2013 (0)</v>
      </c>
      <c r="D4" s="940"/>
      <c r="E4" s="939" t="str">
        <f>VLOOKUP(E5,'Scenario Data'!$C$21:$H$1113,6,FALSE)&amp;" (1)"</f>
        <v>Base case 2043 (1)</v>
      </c>
      <c r="F4" s="940"/>
      <c r="G4" s="939" t="str">
        <f>VLOOKUP(G5,'Scenario Data'!$C$21:$H$1113,6,FALSE)&amp;" (2)"</f>
        <v>Scenario A: staying close to the action (2)</v>
      </c>
      <c r="H4" s="940"/>
      <c r="I4" s="939" t="str">
        <f>VLOOKUP(I5,'Scenario Data'!$C$21:$H$1113,6,FALSE)&amp;" (3)"</f>
        <v>Scenario B: metro-connected (3)</v>
      </c>
      <c r="J4" s="940"/>
      <c r="K4" s="939" t="str">
        <f>VLOOKUP(K5,'Scenario Data'!$C$21:$H$1113,6,FALSE)&amp;" (4)"</f>
        <v>Scenario C: the golden triangle (4)</v>
      </c>
      <c r="L4" s="940"/>
      <c r="M4" s="939" t="str">
        <f>VLOOKUP(M5,'Scenario Data'!$C$21:$H$1113,6,FALSE)&amp;" (5)"</f>
        <v>Scenario D: @home in town and country (5)</v>
      </c>
      <c r="N4" s="940"/>
      <c r="O4" s="936" t="s">
        <v>407</v>
      </c>
      <c r="P4" s="937"/>
    </row>
    <row r="5" spans="1:16" ht="21.75" customHeight="1" thickBot="1" x14ac:dyDescent="0.4">
      <c r="A5" s="941" t="s">
        <v>284</v>
      </c>
      <c r="B5" s="942"/>
      <c r="C5" s="875" t="s">
        <v>383</v>
      </c>
      <c r="D5" s="876"/>
      <c r="E5" s="876" t="s">
        <v>384</v>
      </c>
      <c r="F5" s="876"/>
      <c r="G5" s="876" t="s">
        <v>385</v>
      </c>
      <c r="H5" s="876"/>
      <c r="I5" s="876" t="s">
        <v>386</v>
      </c>
      <c r="J5" s="876"/>
      <c r="K5" s="876" t="s">
        <v>405</v>
      </c>
      <c r="L5" s="876"/>
      <c r="M5" s="876" t="s">
        <v>406</v>
      </c>
      <c r="N5" s="876"/>
      <c r="O5" s="938">
        <v>6</v>
      </c>
      <c r="P5" s="938"/>
    </row>
    <row r="6" spans="1:16" ht="12.75" hidden="1" customHeight="1" x14ac:dyDescent="0.35">
      <c r="A6" s="898" t="s">
        <v>121</v>
      </c>
      <c r="B6" s="147" t="s">
        <v>91</v>
      </c>
      <c r="C6" s="148"/>
      <c r="D6" s="149"/>
      <c r="E6" s="150"/>
      <c r="F6" s="151"/>
      <c r="G6" s="152"/>
      <c r="H6" s="153"/>
      <c r="I6" s="150"/>
      <c r="J6" s="154"/>
      <c r="K6" s="704"/>
      <c r="L6" s="704"/>
      <c r="M6" s="704"/>
      <c r="N6" s="704"/>
      <c r="O6" s="424"/>
      <c r="P6" s="425"/>
    </row>
    <row r="7" spans="1:16" ht="12.75" hidden="1" customHeight="1" x14ac:dyDescent="0.35">
      <c r="A7" s="899"/>
      <c r="B7" s="155" t="s">
        <v>92</v>
      </c>
      <c r="C7" s="156"/>
      <c r="D7" s="157"/>
      <c r="E7" s="158"/>
      <c r="F7" s="159"/>
      <c r="G7" s="156"/>
      <c r="H7" s="160"/>
      <c r="I7" s="158"/>
      <c r="J7" s="161"/>
      <c r="K7" s="704"/>
      <c r="L7" s="704"/>
      <c r="M7" s="704"/>
      <c r="N7" s="704"/>
      <c r="O7" s="424"/>
      <c r="P7" s="425"/>
    </row>
    <row r="8" spans="1:16" ht="12.75" hidden="1" customHeight="1" x14ac:dyDescent="0.35">
      <c r="A8" s="899"/>
      <c r="B8" s="155" t="s">
        <v>93</v>
      </c>
      <c r="C8" s="156"/>
      <c r="D8" s="157"/>
      <c r="E8" s="158"/>
      <c r="F8" s="159"/>
      <c r="G8" s="156"/>
      <c r="H8" s="160"/>
      <c r="I8" s="158"/>
      <c r="J8" s="161"/>
      <c r="K8" s="704"/>
      <c r="L8" s="704"/>
      <c r="M8" s="704"/>
      <c r="N8" s="704"/>
      <c r="O8" s="424"/>
      <c r="P8" s="425"/>
    </row>
    <row r="9" spans="1:16" ht="12.75" hidden="1" customHeight="1" x14ac:dyDescent="0.35">
      <c r="A9" s="899"/>
      <c r="B9" s="155" t="s">
        <v>122</v>
      </c>
      <c r="C9" s="156">
        <v>3</v>
      </c>
      <c r="D9" s="157"/>
      <c r="E9" s="158"/>
      <c r="F9" s="159"/>
      <c r="G9" s="156"/>
      <c r="H9" s="160"/>
      <c r="I9" s="158"/>
      <c r="J9" s="161"/>
      <c r="K9" s="704"/>
      <c r="L9" s="704"/>
      <c r="M9" s="704"/>
      <c r="N9" s="704"/>
      <c r="O9" s="424"/>
      <c r="P9" s="425"/>
    </row>
    <row r="10" spans="1:16" ht="12.75" hidden="1" customHeight="1" x14ac:dyDescent="0.35">
      <c r="A10" s="899"/>
      <c r="B10" s="155" t="s">
        <v>123</v>
      </c>
      <c r="C10" s="156"/>
      <c r="D10" s="162"/>
      <c r="E10" s="158"/>
      <c r="F10" s="159"/>
      <c r="G10" s="156"/>
      <c r="H10" s="160"/>
      <c r="I10" s="158"/>
      <c r="J10" s="161"/>
      <c r="K10" s="704"/>
      <c r="L10" s="704"/>
      <c r="M10" s="704"/>
      <c r="N10" s="704"/>
      <c r="O10" s="424"/>
      <c r="P10" s="425"/>
    </row>
    <row r="11" spans="1:16" ht="12.75" hidden="1" customHeight="1" x14ac:dyDescent="0.35">
      <c r="A11" s="899"/>
      <c r="B11" s="155" t="s">
        <v>124</v>
      </c>
      <c r="C11" s="156"/>
      <c r="D11" s="157"/>
      <c r="E11" s="158"/>
      <c r="F11" s="159"/>
      <c r="G11" s="156"/>
      <c r="H11" s="160"/>
      <c r="I11" s="158"/>
      <c r="J11" s="161"/>
      <c r="K11" s="704"/>
      <c r="L11" s="704"/>
      <c r="M11" s="704"/>
      <c r="N11" s="704"/>
      <c r="O11" s="424"/>
      <c r="P11" s="425"/>
    </row>
    <row r="12" spans="1:16" ht="12.75" hidden="1" customHeight="1" x14ac:dyDescent="0.35">
      <c r="A12" s="899"/>
      <c r="B12" s="155" t="s">
        <v>94</v>
      </c>
      <c r="C12" s="156"/>
      <c r="D12" s="157"/>
      <c r="E12" s="158"/>
      <c r="F12" s="159"/>
      <c r="G12" s="156"/>
      <c r="H12" s="160"/>
      <c r="I12" s="158"/>
      <c r="J12" s="161"/>
      <c r="K12" s="704"/>
      <c r="L12" s="704"/>
      <c r="M12" s="704"/>
      <c r="N12" s="704"/>
      <c r="O12" s="424"/>
      <c r="P12" s="425"/>
    </row>
    <row r="13" spans="1:16" ht="12.75" hidden="1" customHeight="1" x14ac:dyDescent="0.35">
      <c r="A13" s="899"/>
      <c r="B13" s="155" t="s">
        <v>128</v>
      </c>
      <c r="C13" s="163"/>
      <c r="D13" s="162"/>
      <c r="E13" s="164"/>
      <c r="F13" s="165"/>
      <c r="G13" s="163"/>
      <c r="H13" s="162"/>
      <c r="I13" s="164"/>
      <c r="J13" s="166"/>
      <c r="K13" s="705"/>
      <c r="L13" s="705"/>
      <c r="M13" s="705"/>
      <c r="N13" s="705"/>
      <c r="O13" s="426"/>
      <c r="P13" s="427"/>
    </row>
    <row r="14" spans="1:16" ht="12.75" hidden="1" customHeight="1" x14ac:dyDescent="0.35">
      <c r="A14" s="899"/>
      <c r="B14" s="155" t="s">
        <v>95</v>
      </c>
      <c r="C14" s="156"/>
      <c r="D14" s="157"/>
      <c r="E14" s="158"/>
      <c r="F14" s="159"/>
      <c r="G14" s="156"/>
      <c r="H14" s="160"/>
      <c r="I14" s="158"/>
      <c r="J14" s="161"/>
      <c r="K14" s="704"/>
      <c r="L14" s="704"/>
      <c r="M14" s="704"/>
      <c r="N14" s="704"/>
      <c r="O14" s="424"/>
      <c r="P14" s="425"/>
    </row>
    <row r="15" spans="1:16" ht="12.75" hidden="1" customHeight="1" x14ac:dyDescent="0.35">
      <c r="A15" s="899"/>
      <c r="B15" s="155"/>
      <c r="C15" s="249"/>
      <c r="D15" s="250"/>
      <c r="E15" s="251"/>
      <c r="F15" s="252"/>
      <c r="G15" s="249"/>
      <c r="H15" s="253"/>
      <c r="I15" s="251"/>
      <c r="J15" s="254"/>
      <c r="K15" s="704"/>
      <c r="L15" s="704"/>
      <c r="M15" s="704"/>
      <c r="N15" s="704"/>
      <c r="O15" s="424"/>
      <c r="P15" s="425"/>
    </row>
    <row r="16" spans="1:16" ht="12.75" hidden="1" customHeight="1" x14ac:dyDescent="0.35">
      <c r="A16" s="899"/>
      <c r="B16" s="155"/>
      <c r="C16" s="249"/>
      <c r="D16" s="250"/>
      <c r="E16" s="251"/>
      <c r="F16" s="252"/>
      <c r="G16" s="249"/>
      <c r="H16" s="253"/>
      <c r="I16" s="251"/>
      <c r="J16" s="254"/>
      <c r="K16" s="704"/>
      <c r="L16" s="704"/>
      <c r="M16" s="704"/>
      <c r="N16" s="704"/>
      <c r="O16" s="424"/>
      <c r="P16" s="425"/>
    </row>
    <row r="17" spans="1:16" ht="12.75" hidden="1" customHeight="1" thickBot="1" x14ac:dyDescent="0.4">
      <c r="A17" s="905"/>
      <c r="B17" s="167" t="s">
        <v>72</v>
      </c>
      <c r="C17" s="168">
        <f t="shared" ref="C17:J17" si="0">SUM(C6:C14)</f>
        <v>3</v>
      </c>
      <c r="D17" s="169">
        <f t="shared" si="0"/>
        <v>0</v>
      </c>
      <c r="E17" s="170">
        <f t="shared" si="0"/>
        <v>0</v>
      </c>
      <c r="F17" s="169">
        <f t="shared" si="0"/>
        <v>0</v>
      </c>
      <c r="G17" s="168">
        <f t="shared" si="0"/>
        <v>0</v>
      </c>
      <c r="H17" s="172">
        <f t="shared" si="0"/>
        <v>0</v>
      </c>
      <c r="I17" s="170">
        <f t="shared" si="0"/>
        <v>0</v>
      </c>
      <c r="J17" s="173">
        <f t="shared" si="0"/>
        <v>0</v>
      </c>
      <c r="K17" s="706"/>
      <c r="L17" s="706"/>
      <c r="M17" s="706"/>
      <c r="N17" s="706"/>
      <c r="O17" s="424">
        <f>SUM(O6:O14)</f>
        <v>0</v>
      </c>
      <c r="P17" s="425">
        <f>SUM(P6:P14)</f>
        <v>0</v>
      </c>
    </row>
    <row r="18" spans="1:16" ht="12.75" hidden="1" customHeight="1" x14ac:dyDescent="0.35">
      <c r="A18" s="898" t="s">
        <v>125</v>
      </c>
      <c r="B18" s="147" t="s">
        <v>91</v>
      </c>
      <c r="C18" s="906" t="s">
        <v>57</v>
      </c>
      <c r="D18" s="907"/>
      <c r="E18" s="908" t="s">
        <v>239</v>
      </c>
      <c r="F18" s="908"/>
      <c r="G18" s="906" t="s">
        <v>240</v>
      </c>
      <c r="H18" s="907"/>
      <c r="I18" s="908" t="s">
        <v>240</v>
      </c>
      <c r="J18" s="909"/>
      <c r="K18" s="707"/>
      <c r="L18" s="707"/>
      <c r="M18" s="707"/>
      <c r="N18" s="707"/>
      <c r="O18" s="900" t="s">
        <v>240</v>
      </c>
      <c r="P18" s="900"/>
    </row>
    <row r="19" spans="1:16" ht="12.75" hidden="1" customHeight="1" x14ac:dyDescent="0.35">
      <c r="A19" s="899"/>
      <c r="B19" s="155" t="s">
        <v>92</v>
      </c>
      <c r="C19" s="910"/>
      <c r="D19" s="911"/>
      <c r="E19" s="897"/>
      <c r="F19" s="897"/>
      <c r="G19" s="910"/>
      <c r="H19" s="911"/>
      <c r="I19" s="897"/>
      <c r="J19" s="912"/>
      <c r="K19" s="707"/>
      <c r="L19" s="707"/>
      <c r="M19" s="707"/>
      <c r="N19" s="707"/>
      <c r="O19" s="900"/>
      <c r="P19" s="900"/>
    </row>
    <row r="20" spans="1:16" ht="12.75" hidden="1" customHeight="1" x14ac:dyDescent="0.35">
      <c r="A20" s="899"/>
      <c r="B20" s="155" t="s">
        <v>93</v>
      </c>
      <c r="C20" s="913"/>
      <c r="D20" s="913"/>
      <c r="E20" s="914"/>
      <c r="F20" s="914"/>
      <c r="G20" s="913"/>
      <c r="H20" s="913"/>
      <c r="I20" s="914"/>
      <c r="J20" s="915"/>
      <c r="K20" s="708"/>
      <c r="L20" s="708"/>
      <c r="M20" s="708"/>
      <c r="N20" s="708"/>
      <c r="O20" s="924"/>
      <c r="P20" s="924"/>
    </row>
    <row r="21" spans="1:16" ht="12.75" hidden="1" customHeight="1" x14ac:dyDescent="0.35">
      <c r="A21" s="899"/>
      <c r="B21" s="155" t="s">
        <v>122</v>
      </c>
      <c r="C21" s="916"/>
      <c r="D21" s="917"/>
      <c r="E21" s="918"/>
      <c r="F21" s="919"/>
      <c r="G21" s="916"/>
      <c r="H21" s="917"/>
      <c r="I21" s="918"/>
      <c r="J21" s="929"/>
      <c r="K21" s="708"/>
      <c r="L21" s="708"/>
      <c r="M21" s="708"/>
      <c r="N21" s="708"/>
      <c r="O21" s="924"/>
      <c r="P21" s="924"/>
    </row>
    <row r="22" spans="1:16" ht="12.75" hidden="1" customHeight="1" x14ac:dyDescent="0.35">
      <c r="A22" s="899"/>
      <c r="B22" s="155" t="s">
        <v>96</v>
      </c>
      <c r="C22" s="913"/>
      <c r="D22" s="913"/>
      <c r="E22" s="914"/>
      <c r="F22" s="914"/>
      <c r="G22" s="913"/>
      <c r="H22" s="913"/>
      <c r="I22" s="914"/>
      <c r="J22" s="915"/>
      <c r="K22" s="708"/>
      <c r="L22" s="708"/>
      <c r="M22" s="708"/>
      <c r="N22" s="708"/>
      <c r="O22" s="924"/>
      <c r="P22" s="924"/>
    </row>
    <row r="23" spans="1:16" ht="12.75" hidden="1" customHeight="1" x14ac:dyDescent="0.35">
      <c r="A23" s="899"/>
      <c r="B23" s="155" t="s">
        <v>124</v>
      </c>
      <c r="C23" s="910"/>
      <c r="D23" s="911"/>
      <c r="E23" s="897"/>
      <c r="F23" s="897"/>
      <c r="G23" s="910"/>
      <c r="H23" s="911"/>
      <c r="I23" s="897"/>
      <c r="J23" s="912"/>
      <c r="K23" s="707"/>
      <c r="L23" s="707"/>
      <c r="M23" s="707"/>
      <c r="N23" s="707"/>
      <c r="O23" s="900"/>
      <c r="P23" s="900"/>
    </row>
    <row r="24" spans="1:16" ht="12.75" hidden="1" customHeight="1" x14ac:dyDescent="0.35">
      <c r="A24" s="899"/>
      <c r="B24" s="155" t="s">
        <v>94</v>
      </c>
      <c r="C24" s="913"/>
      <c r="D24" s="913"/>
      <c r="E24" s="914"/>
      <c r="F24" s="914"/>
      <c r="G24" s="913"/>
      <c r="H24" s="913"/>
      <c r="I24" s="914"/>
      <c r="J24" s="915"/>
      <c r="K24" s="708"/>
      <c r="L24" s="708"/>
      <c r="M24" s="708"/>
      <c r="N24" s="708"/>
      <c r="O24" s="924"/>
      <c r="P24" s="924"/>
    </row>
    <row r="25" spans="1:16" ht="12.75" hidden="1" customHeight="1" x14ac:dyDescent="0.35">
      <c r="A25" s="899"/>
      <c r="B25" s="155" t="s">
        <v>128</v>
      </c>
      <c r="C25" s="913"/>
      <c r="D25" s="913"/>
      <c r="E25" s="914"/>
      <c r="F25" s="914"/>
      <c r="G25" s="913"/>
      <c r="H25" s="913"/>
      <c r="I25" s="914"/>
      <c r="J25" s="915"/>
      <c r="K25" s="708"/>
      <c r="L25" s="708"/>
      <c r="M25" s="708"/>
      <c r="N25" s="708"/>
      <c r="O25" s="924"/>
      <c r="P25" s="924"/>
    </row>
    <row r="26" spans="1:16" ht="12.75" hidden="1" customHeight="1" thickBot="1" x14ac:dyDescent="0.4">
      <c r="A26" s="905"/>
      <c r="B26" s="167" t="s">
        <v>95</v>
      </c>
      <c r="C26" s="920"/>
      <c r="D26" s="921"/>
      <c r="E26" s="922"/>
      <c r="F26" s="922"/>
      <c r="G26" s="920"/>
      <c r="H26" s="921"/>
      <c r="I26" s="922"/>
      <c r="J26" s="923"/>
      <c r="K26" s="707"/>
      <c r="L26" s="707"/>
      <c r="M26" s="707"/>
      <c r="N26" s="707"/>
      <c r="O26" s="900"/>
      <c r="P26" s="900"/>
    </row>
    <row r="27" spans="1:16" ht="12.75" customHeight="1" x14ac:dyDescent="0.35">
      <c r="A27" s="898" t="s">
        <v>371</v>
      </c>
      <c r="B27" s="147" t="s">
        <v>91</v>
      </c>
      <c r="C27" s="897">
        <v>4.82803</v>
      </c>
      <c r="D27" s="897"/>
      <c r="E27" s="897">
        <v>4.82803</v>
      </c>
      <c r="F27" s="897"/>
      <c r="G27" s="897">
        <v>4.82803</v>
      </c>
      <c r="H27" s="897"/>
      <c r="I27" s="897">
        <v>4.82803</v>
      </c>
      <c r="J27" s="897"/>
      <c r="K27" s="897">
        <v>4.82803</v>
      </c>
      <c r="L27" s="897"/>
      <c r="M27" s="897">
        <v>4.82803</v>
      </c>
      <c r="N27" s="897"/>
      <c r="O27" s="934">
        <v>4.82803</v>
      </c>
      <c r="P27" s="935"/>
    </row>
    <row r="28" spans="1:16" ht="12.75" customHeight="1" x14ac:dyDescent="0.35">
      <c r="A28" s="899"/>
      <c r="B28" s="155" t="s">
        <v>192</v>
      </c>
      <c r="C28" s="897">
        <v>19.312100000000001</v>
      </c>
      <c r="D28" s="897"/>
      <c r="E28" s="897">
        <v>19.312100000000001</v>
      </c>
      <c r="F28" s="897"/>
      <c r="G28" s="897">
        <v>19.312100000000001</v>
      </c>
      <c r="H28" s="897"/>
      <c r="I28" s="897">
        <v>19.312100000000001</v>
      </c>
      <c r="J28" s="897"/>
      <c r="K28" s="897">
        <v>19.312100000000001</v>
      </c>
      <c r="L28" s="897"/>
      <c r="M28" s="897">
        <v>19.312100000000001</v>
      </c>
      <c r="N28" s="897"/>
      <c r="O28" s="900">
        <v>19.312100000000001</v>
      </c>
      <c r="P28" s="900"/>
    </row>
    <row r="29" spans="1:16" ht="12.75" customHeight="1" x14ac:dyDescent="0.35">
      <c r="A29" s="899"/>
      <c r="B29" s="155" t="s">
        <v>93</v>
      </c>
      <c r="C29" s="897">
        <f>C37/(C46/60)</f>
        <v>20.972821652285845</v>
      </c>
      <c r="D29" s="897"/>
      <c r="E29" s="897">
        <f>E37/(E46/60)</f>
        <v>20.146741734473622</v>
      </c>
      <c r="F29" s="897"/>
      <c r="G29" s="897">
        <f>G37/(G46/60)</f>
        <v>28.385855514448615</v>
      </c>
      <c r="H29" s="897"/>
      <c r="I29" s="897">
        <f>I37/(I46/60)</f>
        <v>20.903192797712425</v>
      </c>
      <c r="J29" s="897"/>
      <c r="K29" s="897">
        <f>K37/(K46/60)</f>
        <v>20.873522137167409</v>
      </c>
      <c r="L29" s="897"/>
      <c r="M29" s="897">
        <f>M37/(M46/60)</f>
        <v>21.522605155762811</v>
      </c>
      <c r="N29" s="897"/>
      <c r="O29" s="900">
        <f>C29</f>
        <v>20.972821652285845</v>
      </c>
      <c r="P29" s="900"/>
    </row>
    <row r="30" spans="1:16" ht="12.75" customHeight="1" x14ac:dyDescent="0.35">
      <c r="A30" s="899"/>
      <c r="B30" s="155" t="s">
        <v>193</v>
      </c>
      <c r="C30" s="897">
        <f>C38/(C47/60)</f>
        <v>38.215436859843315</v>
      </c>
      <c r="D30" s="897"/>
      <c r="E30" s="897">
        <f>E38/(E47/60)</f>
        <v>32.120854273735674</v>
      </c>
      <c r="F30" s="897"/>
      <c r="G30" s="897">
        <f>G38/(G47/60)</f>
        <v>33.150299335993843</v>
      </c>
      <c r="H30" s="897"/>
      <c r="I30" s="897">
        <f>I38/(I47/60)</f>
        <v>32.793587768354705</v>
      </c>
      <c r="J30" s="897"/>
      <c r="K30" s="897">
        <f>K38/(K47/60)</f>
        <v>32.190958528342918</v>
      </c>
      <c r="L30" s="897"/>
      <c r="M30" s="897">
        <f>M38/(M47/60)</f>
        <v>32.958293974556952</v>
      </c>
      <c r="N30" s="897"/>
      <c r="O30" s="900">
        <f>C30</f>
        <v>38.215436859843315</v>
      </c>
      <c r="P30" s="900"/>
    </row>
    <row r="31" spans="1:16" ht="12.75" customHeight="1" x14ac:dyDescent="0.35">
      <c r="A31" s="899"/>
      <c r="B31" s="155" t="s">
        <v>251</v>
      </c>
      <c r="C31" s="897">
        <f>C39/(C48/60)</f>
        <v>37.023120798372801</v>
      </c>
      <c r="D31" s="897"/>
      <c r="E31" s="897">
        <f>E39/(E48/60)</f>
        <v>36.947016867241892</v>
      </c>
      <c r="F31" s="897"/>
      <c r="G31" s="897">
        <f>G39/(G48/60)</f>
        <v>38.924810714105817</v>
      </c>
      <c r="H31" s="897"/>
      <c r="I31" s="897">
        <f>I39/(I48/60)</f>
        <v>37.919570334410089</v>
      </c>
      <c r="J31" s="897"/>
      <c r="K31" s="897">
        <f>K39/(K48/60)</f>
        <v>37.962301311573178</v>
      </c>
      <c r="L31" s="897"/>
      <c r="M31" s="897">
        <f>M39/(M48/60)</f>
        <v>38.214325826114539</v>
      </c>
      <c r="N31" s="897"/>
      <c r="O31" s="900">
        <f>C31</f>
        <v>37.023120798372801</v>
      </c>
      <c r="P31" s="900"/>
    </row>
    <row r="32" spans="1:16" ht="12.75" customHeight="1" x14ac:dyDescent="0.35">
      <c r="A32" s="899"/>
      <c r="B32" s="155" t="s">
        <v>252</v>
      </c>
      <c r="C32" s="897">
        <f>C40/(C49/60)</f>
        <v>39.769138942713887</v>
      </c>
      <c r="D32" s="897"/>
      <c r="E32" s="897">
        <f>E40/(E49/60)</f>
        <v>40.523930776972641</v>
      </c>
      <c r="F32" s="897"/>
      <c r="G32" s="897">
        <f>G40/(G49/60)</f>
        <v>42.635452819339747</v>
      </c>
      <c r="H32" s="897"/>
      <c r="I32" s="897">
        <f>I40/(I49/60)</f>
        <v>42.783515912545361</v>
      </c>
      <c r="J32" s="897"/>
      <c r="K32" s="897">
        <f>K40/(K49/60)</f>
        <v>42.219032173026385</v>
      </c>
      <c r="L32" s="897"/>
      <c r="M32" s="897">
        <f>M40/(M49/60)</f>
        <v>42.519185695639251</v>
      </c>
      <c r="N32" s="897"/>
      <c r="O32" s="900">
        <f>C32</f>
        <v>39.769138942713887</v>
      </c>
      <c r="P32" s="900"/>
    </row>
    <row r="33" spans="1:24" ht="12.75" customHeight="1" x14ac:dyDescent="0.35">
      <c r="A33" s="899"/>
      <c r="B33" s="155" t="s">
        <v>195</v>
      </c>
      <c r="C33" s="927">
        <f>C31</f>
        <v>37.023120798372801</v>
      </c>
      <c r="D33" s="928"/>
      <c r="E33" s="927">
        <f t="shared" ref="E33" si="1">E31</f>
        <v>36.947016867241892</v>
      </c>
      <c r="F33" s="928"/>
      <c r="G33" s="927">
        <f t="shared" ref="G33" si="2">G31</f>
        <v>38.924810714105817</v>
      </c>
      <c r="H33" s="928"/>
      <c r="I33" s="927">
        <f t="shared" ref="I33:K33" si="3">I31</f>
        <v>37.919570334410089</v>
      </c>
      <c r="J33" s="928"/>
      <c r="K33" s="927">
        <f t="shared" si="3"/>
        <v>37.962301311573178</v>
      </c>
      <c r="L33" s="928"/>
      <c r="M33" s="927">
        <f t="shared" ref="M33" si="4">M31</f>
        <v>38.214325826114539</v>
      </c>
      <c r="N33" s="928"/>
      <c r="O33" s="900">
        <f t="shared" ref="O33" si="5">O31</f>
        <v>37.023120798372801</v>
      </c>
      <c r="P33" s="900"/>
    </row>
    <row r="34" spans="1:24" ht="12.75" customHeight="1" thickBot="1" x14ac:dyDescent="0.4">
      <c r="A34" s="473"/>
      <c r="B34" s="167"/>
      <c r="C34" s="925" t="s">
        <v>167</v>
      </c>
      <c r="D34" s="926"/>
      <c r="E34" s="925" t="str">
        <f>C34</f>
        <v xml:space="preserve"> </v>
      </c>
      <c r="F34" s="926"/>
      <c r="G34" s="925" t="str">
        <f>E34</f>
        <v xml:space="preserve"> </v>
      </c>
      <c r="H34" s="926"/>
      <c r="I34" s="925" t="str">
        <f>G34</f>
        <v xml:space="preserve"> </v>
      </c>
      <c r="J34" s="926"/>
      <c r="K34" s="709"/>
      <c r="L34" s="709"/>
      <c r="M34" s="709"/>
      <c r="N34" s="709"/>
      <c r="O34" s="902" t="str">
        <f>I34</f>
        <v xml:space="preserve"> </v>
      </c>
      <c r="P34" s="903"/>
    </row>
    <row r="35" spans="1:24" ht="12.75" customHeight="1" thickBot="1" x14ac:dyDescent="0.4">
      <c r="A35" s="898" t="s">
        <v>370</v>
      </c>
      <c r="B35" s="147" t="s">
        <v>91</v>
      </c>
      <c r="C35" s="602">
        <f>IF('user page'!$R$38=1,VLOOKUP(C$5&amp;"_"&amp;3&amp;"_"&amp;$B35&amp;"___",'Scenario Data'!$A$2:$V$12509,21,FALSE)*7, 'Calibration Data'!R42*7)</f>
        <v>3.4863077676544432</v>
      </c>
      <c r="D35" s="151">
        <f t="shared" ref="D35:D41" si="6">C35/C$43</f>
        <v>1.6030301408695873E-2</v>
      </c>
      <c r="E35" s="407">
        <f>VLOOKUP(E$5&amp;"_"&amp;3&amp;"_"&amp;$B35&amp;"___",'Scenario Data'!$A$21:$V$12509,21,FALSE)*7</f>
        <v>3.2002555887736266</v>
      </c>
      <c r="F35" s="151">
        <f t="shared" ref="F35:F41" si="7">E35/E$43</f>
        <v>1.4646550879706066E-2</v>
      </c>
      <c r="G35" s="407">
        <f>VLOOKUP(G$5&amp;"_"&amp;3&amp;"_"&amp;$B35&amp;"___",'Scenario Data'!$A$21:$V$12509,21,FALSE)*7</f>
        <v>4.3456619622983093</v>
      </c>
      <c r="H35" s="151">
        <f t="shared" ref="H35:H41" si="8">G35/G$43</f>
        <v>2.1161153343608685E-2</v>
      </c>
      <c r="I35" s="407">
        <f>VLOOKUP(I$5&amp;"_"&amp;3&amp;"_"&amp;$B35&amp;"___",'Scenario Data'!$A$21:$V$12509,21,FALSE)*7</f>
        <v>3.5468667863060444</v>
      </c>
      <c r="J35" s="151">
        <f t="shared" ref="J35:N41" si="9">I35/I$43</f>
        <v>1.6547508025262926E-2</v>
      </c>
      <c r="K35" s="407">
        <f>VLOOKUP(K$5&amp;"_"&amp;3&amp;"_"&amp;$B35&amp;"___",'Scenario Data'!$A$21:$V$12509,21,FALSE)*7</f>
        <v>3.218166445968818</v>
      </c>
      <c r="L35" s="151">
        <f t="shared" si="9"/>
        <v>1.426508636298445E-2</v>
      </c>
      <c r="M35" s="407">
        <f>VLOOKUP(M$5&amp;"_"&amp;3&amp;"_"&amp;$B35&amp;"___",'Scenario Data'!$A$21:$V$12509,21,FALSE)*7</f>
        <v>2.7345271290299173</v>
      </c>
      <c r="N35" s="151">
        <f t="shared" si="9"/>
        <v>1.4241017618733873E-2</v>
      </c>
      <c r="O35" s="608">
        <f>O44/60*3</f>
        <v>3.1037091963854841</v>
      </c>
      <c r="P35" s="477">
        <f t="shared" ref="P35:P41" si="10">O35/O$43</f>
        <v>1.427108483209852E-2</v>
      </c>
    </row>
    <row r="36" spans="1:24" ht="12.75" customHeight="1" thickBot="1" x14ac:dyDescent="0.4">
      <c r="A36" s="899"/>
      <c r="B36" s="155" t="s">
        <v>248</v>
      </c>
      <c r="C36" s="602">
        <f>IF('user page'!$R$38=1,VLOOKUP(C$5&amp;"_"&amp;3&amp;"_"&amp;$B36&amp;"___",'Scenario Data'!$A$2:$V$12509,21,FALSE)*7, 'Calibration Data'!R41*7)</f>
        <v>1.3496614274887984</v>
      </c>
      <c r="D36" s="151">
        <f t="shared" si="6"/>
        <v>6.2058432370967432E-3</v>
      </c>
      <c r="E36" s="445">
        <f>VLOOKUP(E$5&amp;"_"&amp;3&amp;"_"&amp;$B36&amp;"___",'Scenario Data'!$A$21:$V$12509,21,FALSE)*7</f>
        <v>1.4150443573778451</v>
      </c>
      <c r="F36" s="151">
        <f t="shared" si="7"/>
        <v>6.4762074785776188E-3</v>
      </c>
      <c r="G36" s="407">
        <f>VLOOKUP(G$5&amp;"_"&amp;3&amp;"_"&amp;$B36&amp;"___",'Scenario Data'!$A$21:$V$12509,21,FALSE)*7</f>
        <v>4.4169505858019278</v>
      </c>
      <c r="H36" s="151">
        <f t="shared" si="8"/>
        <v>2.150829251520155E-2</v>
      </c>
      <c r="I36" s="407">
        <f>VLOOKUP(I$5&amp;"_"&amp;3&amp;"_"&amp;$B36&amp;"___",'Scenario Data'!$A$21:$V$12509,21,FALSE)*7</f>
        <v>2.8179288923394763</v>
      </c>
      <c r="J36" s="151">
        <f t="shared" si="9"/>
        <v>1.3146730274911506E-2</v>
      </c>
      <c r="K36" s="407">
        <f>VLOOKUP(K$5&amp;"_"&amp;3&amp;"_"&amp;$B36&amp;"___",'Scenario Data'!$A$21:$V$12509,21,FALSE)*7</f>
        <v>2.1154978896032115</v>
      </c>
      <c r="L36" s="151">
        <f t="shared" si="9"/>
        <v>9.3773148786952323E-3</v>
      </c>
      <c r="M36" s="407">
        <f>VLOOKUP(M$5&amp;"_"&amp;3&amp;"_"&amp;$B36&amp;"___",'Scenario Data'!$A$21:$V$12509,21,FALSE)*7</f>
        <v>1.9487941318869466</v>
      </c>
      <c r="N36" s="151">
        <f t="shared" si="9"/>
        <v>1.0149035009695658E-2</v>
      </c>
      <c r="O36" s="601">
        <f>O45/60*12</f>
        <v>1.201546507607935</v>
      </c>
      <c r="P36" s="425">
        <f t="shared" si="10"/>
        <v>5.52479986196968E-3</v>
      </c>
    </row>
    <row r="37" spans="1:24" ht="12.75" customHeight="1" thickBot="1" x14ac:dyDescent="0.4">
      <c r="A37" s="899"/>
      <c r="B37" s="155" t="s">
        <v>93</v>
      </c>
      <c r="C37" s="602">
        <f>IF('user page'!$R$38=1,VLOOKUP(C$5&amp;"_"&amp;3&amp;"_"&amp;$B37&amp;"___",'Scenario Data'!$A$2:$V$12509,21,FALSE)*7, 'Calibration Data'!R45*7)</f>
        <v>4.7968464696239295</v>
      </c>
      <c r="D37" s="151">
        <f t="shared" si="6"/>
        <v>2.2056255455336495E-2</v>
      </c>
      <c r="E37" s="407">
        <f>VLOOKUP(E$5&amp;"_"&amp;3&amp;"_"&amp;$B37&amp;"___",'Scenario Data'!$A$21:$V$12509,21,FALSE)*7</f>
        <v>5.9296074280114857</v>
      </c>
      <c r="F37" s="151">
        <f t="shared" si="7"/>
        <v>2.7137925231882645E-2</v>
      </c>
      <c r="G37" s="407">
        <f>VLOOKUP(G$5&amp;"_"&amp;3&amp;"_"&amp;$B37&amp;"___",'Scenario Data'!$A$21:$V$12509,21,FALSE)*7</f>
        <v>13.925437380362357</v>
      </c>
      <c r="H37" s="151">
        <f t="shared" si="8"/>
        <v>6.7809764850375168E-2</v>
      </c>
      <c r="I37" s="407">
        <f>VLOOKUP(I$5&amp;"_"&amp;3&amp;"_"&amp;$B37&amp;"___",'Scenario Data'!$A$21:$V$12509,21,FALSE)*7</f>
        <v>5.0301997392884807</v>
      </c>
      <c r="J37" s="151">
        <f t="shared" si="9"/>
        <v>2.3467831065976046E-2</v>
      </c>
      <c r="K37" s="407">
        <f>VLOOKUP(K$5&amp;"_"&amp;3&amp;"_"&amp;$B37&amp;"___",'Scenario Data'!$A$21:$V$12509,21,FALSE)*7</f>
        <v>4.9259735181049535</v>
      </c>
      <c r="L37" s="151">
        <f t="shared" si="9"/>
        <v>2.1835240295157304E-2</v>
      </c>
      <c r="M37" s="407">
        <f>VLOOKUP(M$5&amp;"_"&amp;3&amp;"_"&amp;$B37&amp;"___",'Scenario Data'!$A$21:$V$12509,21,FALSE)*7</f>
        <v>3.9378758865408594</v>
      </c>
      <c r="N37" s="151">
        <f t="shared" si="9"/>
        <v>2.0507882070458738E-2</v>
      </c>
      <c r="O37" s="601">
        <f>(O29/60)*O63*7*(C46/(C46+C47))</f>
        <v>9.1691887863525725</v>
      </c>
      <c r="P37" s="425">
        <f t="shared" si="10"/>
        <v>4.2160609365063655E-2</v>
      </c>
    </row>
    <row r="38" spans="1:24" ht="12.75" customHeight="1" thickBot="1" x14ac:dyDescent="0.4">
      <c r="A38" s="899"/>
      <c r="B38" s="155" t="s">
        <v>193</v>
      </c>
      <c r="C38" s="602">
        <f>IF('user page'!$R$38=1,VLOOKUP(C$5&amp;"_"&amp;3&amp;"_"&amp;$B38&amp;"___",'Scenario Data'!$A$2:$V$12509,21,FALSE)*7, 'Calibration Data'!R46*7)</f>
        <v>1.9711735731416047</v>
      </c>
      <c r="D38" s="151">
        <f t="shared" si="6"/>
        <v>9.0636021293022968E-3</v>
      </c>
      <c r="E38" s="407">
        <f>VLOOKUP(E$5&amp;"_"&amp;3&amp;"_"&amp;$B38&amp;"___",'Scenario Data'!$A$21:$V$12509,21,FALSE)*7</f>
        <v>6.5376320754147459</v>
      </c>
      <c r="F38" s="151">
        <f t="shared" si="7"/>
        <v>2.992066045014059E-2</v>
      </c>
      <c r="G38" s="407">
        <f>VLOOKUP(G$5&amp;"_"&amp;3&amp;"_"&amp;$B38&amp;"___",'Scenario Data'!$A$21:$V$12509,21,FALSE)*7</f>
        <v>7.5516554849562789</v>
      </c>
      <c r="H38" s="151">
        <f t="shared" si="8"/>
        <v>3.6772703698920099E-2</v>
      </c>
      <c r="I38" s="407">
        <f>VLOOKUP(I$5&amp;"_"&amp;3&amp;"_"&amp;$B38&amp;"___",'Scenario Data'!$A$21:$V$12509,21,FALSE)*7</f>
        <v>5.4871703601861261</v>
      </c>
      <c r="J38" s="151">
        <f t="shared" si="9"/>
        <v>2.5599776095828291E-2</v>
      </c>
      <c r="K38" s="407">
        <f>VLOOKUP(K$5&amp;"_"&amp;3&amp;"_"&amp;$B38&amp;"___",'Scenario Data'!$A$21:$V$12509,21,FALSE)*7</f>
        <v>5.5487383638563283</v>
      </c>
      <c r="L38" s="151">
        <f t="shared" si="9"/>
        <v>2.4595754537545911E-2</v>
      </c>
      <c r="M38" s="407">
        <f>VLOOKUP(M$5&amp;"_"&amp;3&amp;"_"&amp;$B38&amp;"___",'Scenario Data'!$A$21:$V$12509,21,FALSE)*7</f>
        <v>4.210514915445593</v>
      </c>
      <c r="N38" s="151">
        <f t="shared" si="9"/>
        <v>2.1927746284994502E-2</v>
      </c>
      <c r="O38" s="601">
        <f>(O30/60)*O63*7*(C47/(C46+C47))</f>
        <v>3.7679051721289576</v>
      </c>
      <c r="P38" s="425">
        <f t="shared" si="10"/>
        <v>1.732510713741384E-2</v>
      </c>
    </row>
    <row r="39" spans="1:24" ht="12.75" customHeight="1" thickBot="1" x14ac:dyDescent="0.4">
      <c r="A39" s="899"/>
      <c r="B39" s="155" t="s">
        <v>251</v>
      </c>
      <c r="C39" s="602">
        <f>IF('user page'!$R$38=1,VLOOKUP(C$5&amp;"_"&amp;3&amp;"_"&amp;$B39&amp;"___",'Scenario Data'!$A$2:$V$12509,21,FALSE)*7, 'Calibration Data'!R43*7)</f>
        <v>131.14856567845476</v>
      </c>
      <c r="D39" s="151">
        <f t="shared" si="6"/>
        <v>0.60303082150381115</v>
      </c>
      <c r="E39" s="407">
        <f>VLOOKUP(E$5&amp;"_"&amp;3&amp;"_"&amp;$B39&amp;"___",'Scenario Data'!$A$21:$V$12509,21,FALSE)*7</f>
        <v>134.6321473293423</v>
      </c>
      <c r="F39" s="151">
        <f t="shared" si="7"/>
        <v>0.61616847192475266</v>
      </c>
      <c r="G39" s="407">
        <f>VLOOKUP(G$5&amp;"_"&amp;3&amp;"_"&amp;$B39&amp;"___",'Scenario Data'!$A$21:$V$12509,21,FALSE)*7</f>
        <v>110.54292394113332</v>
      </c>
      <c r="H39" s="151">
        <f t="shared" si="8"/>
        <v>0.53828755776761861</v>
      </c>
      <c r="I39" s="407">
        <f>VLOOKUP(I$5&amp;"_"&amp;3&amp;"_"&amp;$B39&amp;"___",'Scenario Data'!$A$21:$V$12509,21,FALSE)*7</f>
        <v>132.63020023349202</v>
      </c>
      <c r="J39" s="151">
        <f t="shared" si="9"/>
        <v>0.61877128039580298</v>
      </c>
      <c r="K39" s="407">
        <f>VLOOKUP(K$5&amp;"_"&amp;3&amp;"_"&amp;$B39&amp;"___",'Scenario Data'!$A$21:$V$12509,21,FALSE)*7</f>
        <v>138.9013298375402</v>
      </c>
      <c r="L39" s="151">
        <f t="shared" si="9"/>
        <v>0.61570447002451245</v>
      </c>
      <c r="M39" s="407">
        <f>VLOOKUP(M$5&amp;"_"&amp;3&amp;"_"&amp;$B39&amp;"___",'Scenario Data'!$A$21:$V$12509,21,FALSE)*7</f>
        <v>118.10920339392919</v>
      </c>
      <c r="N39" s="151">
        <f t="shared" si="9"/>
        <v>0.61509546883312927</v>
      </c>
      <c r="O39" s="601">
        <f>(SUM(C35,C36,C37,C38,C39,C40)-O35-O36-O37-O38)*C39/(C39+C40)</f>
        <v>127.54146769503073</v>
      </c>
      <c r="P39" s="425">
        <f t="shared" si="10"/>
        <v>0.58644511773392027</v>
      </c>
    </row>
    <row r="40" spans="1:24" ht="12.75" customHeight="1" thickBot="1" x14ac:dyDescent="0.4">
      <c r="A40" s="899"/>
      <c r="B40" s="155" t="s">
        <v>252</v>
      </c>
      <c r="C40" s="602">
        <f>IF('user page'!$R$38=1,VLOOKUP(C$5&amp;"_"&amp;3&amp;"_"&amp;$B40&amp;"___",'Scenario Data'!$A$2:$V$12509,21,FALSE)*7, 'Calibration Data'!R44*7)</f>
        <v>73.853595576418215</v>
      </c>
      <c r="D40" s="151">
        <f t="shared" si="6"/>
        <v>0.33958430411392698</v>
      </c>
      <c r="E40" s="407">
        <f>VLOOKUP(E$5&amp;"_"&amp;3&amp;"_"&amp;$B40&amp;"___",'Scenario Data'!$A$21:$V$12509,21,FALSE)*7</f>
        <v>65.908027320538366</v>
      </c>
      <c r="F40" s="151">
        <f t="shared" si="7"/>
        <v>0.30164005616227857</v>
      </c>
      <c r="G40" s="407">
        <f>VLOOKUP(G$5&amp;"_"&amp;3&amp;"_"&amp;$B40&amp;"___",'Scenario Data'!$A$21:$V$12509,21,FALSE)*7</f>
        <v>63.701516999094608</v>
      </c>
      <c r="H40" s="151">
        <f t="shared" si="8"/>
        <v>0.31019383954232255</v>
      </c>
      <c r="I40" s="407">
        <f>VLOOKUP(I$5&amp;"_"&amp;3&amp;"_"&amp;$B40&amp;"___",'Scenario Data'!$A$21:$V$12509,21,FALSE)*7</f>
        <v>63.955892274745295</v>
      </c>
      <c r="J40" s="151">
        <f t="shared" si="9"/>
        <v>0.29837902138450423</v>
      </c>
      <c r="K40" s="407">
        <f>VLOOKUP(K$5&amp;"_"&amp;3&amp;"_"&amp;$B40&amp;"___",'Scenario Data'!$A$21:$V$12509,21,FALSE)*7</f>
        <v>70.011488949300528</v>
      </c>
      <c r="L40" s="151">
        <f t="shared" si="9"/>
        <v>0.3103381857436035</v>
      </c>
      <c r="M40" s="407">
        <f>VLOOKUP(M$5&amp;"_"&amp;3&amp;"_"&amp;$B40&amp;"___",'Scenario Data'!$A$21:$V$12509,21,FALSE)*7</f>
        <v>60.200553468248643</v>
      </c>
      <c r="N40" s="151">
        <f t="shared" si="9"/>
        <v>0.31351568375296957</v>
      </c>
      <c r="O40" s="601">
        <f>(SUM(C35,C36,C37,C38,C39,C40)-O35-O36-O37-O38)*C40/(C39+C40)</f>
        <v>71.82233313527604</v>
      </c>
      <c r="P40" s="425">
        <f t="shared" si="10"/>
        <v>0.33024440891770351</v>
      </c>
    </row>
    <row r="41" spans="1:24" ht="12" customHeight="1" thickBot="1" x14ac:dyDescent="0.4">
      <c r="A41" s="899"/>
      <c r="B41" s="155" t="s">
        <v>195</v>
      </c>
      <c r="C41" s="602">
        <f>'Calibration Data'!R47*7</f>
        <v>0.87620862014447543</v>
      </c>
      <c r="D41" s="151">
        <f t="shared" si="6"/>
        <v>4.028872151830531E-3</v>
      </c>
      <c r="E41" s="407">
        <f>C41</f>
        <v>0.87620862014447543</v>
      </c>
      <c r="F41" s="151">
        <f t="shared" si="7"/>
        <v>4.0101278726618894E-3</v>
      </c>
      <c r="G41" s="407">
        <f>C41</f>
        <v>0.87620862014447543</v>
      </c>
      <c r="H41" s="151">
        <f t="shared" si="8"/>
        <v>4.266688281953447E-3</v>
      </c>
      <c r="I41" s="407">
        <f>C41</f>
        <v>0.87620862014447543</v>
      </c>
      <c r="J41" s="151">
        <f t="shared" si="9"/>
        <v>4.0878527577139735E-3</v>
      </c>
      <c r="K41" s="407">
        <f>E41</f>
        <v>0.87620862014447543</v>
      </c>
      <c r="L41" s="151">
        <f t="shared" si="9"/>
        <v>3.8839481575010763E-3</v>
      </c>
      <c r="M41" s="407">
        <f>G41</f>
        <v>0.87620862014447543</v>
      </c>
      <c r="N41" s="151">
        <f t="shared" si="9"/>
        <v>4.5631664300184206E-3</v>
      </c>
      <c r="O41" s="601">
        <f>C41</f>
        <v>0.87620862014447543</v>
      </c>
      <c r="P41" s="425">
        <f t="shared" si="10"/>
        <v>4.0288721518305318E-3</v>
      </c>
    </row>
    <row r="42" spans="1:24" ht="12.75" customHeight="1" x14ac:dyDescent="0.35">
      <c r="A42" s="247"/>
      <c r="B42" s="155"/>
      <c r="C42" s="600"/>
      <c r="D42" s="475"/>
      <c r="E42" s="322"/>
      <c r="F42" s="475"/>
      <c r="G42" s="322"/>
      <c r="H42" s="475"/>
      <c r="I42" s="322"/>
      <c r="J42" s="475"/>
      <c r="K42" s="545"/>
      <c r="L42" s="475"/>
      <c r="M42" s="545"/>
      <c r="N42" s="475"/>
      <c r="O42" s="476"/>
      <c r="P42" s="477"/>
      <c r="R42" s="593"/>
      <c r="S42" s="595"/>
      <c r="T42" s="593"/>
      <c r="U42" s="593"/>
      <c r="V42" s="593"/>
      <c r="W42" s="593"/>
      <c r="X42" s="593"/>
    </row>
    <row r="43" spans="1:24" ht="12.75" customHeight="1" thickBot="1" x14ac:dyDescent="0.4">
      <c r="A43" s="174"/>
      <c r="B43" s="167" t="s">
        <v>72</v>
      </c>
      <c r="C43" s="390">
        <f>SUM(C35:C42)</f>
        <v>217.48235911292622</v>
      </c>
      <c r="D43" s="171">
        <f>SUM(D35:D41)</f>
        <v>1</v>
      </c>
      <c r="E43" s="390">
        <f>SUM(E35:E42)</f>
        <v>218.49892271960283</v>
      </c>
      <c r="F43" s="171">
        <f>SUM(F35:F41)</f>
        <v>1</v>
      </c>
      <c r="G43" s="390">
        <f>SUM(G35:G42)</f>
        <v>205.36035497379126</v>
      </c>
      <c r="H43" s="171">
        <f>SUM(H35:H41)</f>
        <v>1.0000000000000002</v>
      </c>
      <c r="I43" s="390">
        <f>SUM(I35:I42)</f>
        <v>214.34446690650194</v>
      </c>
      <c r="J43" s="171">
        <f>SUM(J35:J41)</f>
        <v>0.99999999999999989</v>
      </c>
      <c r="K43" s="390">
        <f>SUM(K35:K42)</f>
        <v>225.59740362451853</v>
      </c>
      <c r="L43" s="171">
        <f>SUM(L35:L41)</f>
        <v>0.99999999999999989</v>
      </c>
      <c r="M43" s="390">
        <f>SUM(M35:M42)</f>
        <v>192.01767754522561</v>
      </c>
      <c r="N43" s="171">
        <f>SUM(N35:N41)</f>
        <v>1</v>
      </c>
      <c r="O43" s="478">
        <f>SUM(O35:O42)</f>
        <v>217.48235911292619</v>
      </c>
      <c r="P43" s="479">
        <f>SUM(P35:P41)</f>
        <v>1</v>
      </c>
      <c r="R43" s="595"/>
      <c r="S43" s="595"/>
      <c r="T43" s="595"/>
      <c r="U43" s="595"/>
      <c r="V43" s="595"/>
      <c r="W43" s="596"/>
      <c r="X43" s="593"/>
    </row>
    <row r="44" spans="1:24" ht="12.75" customHeight="1" thickBot="1" x14ac:dyDescent="0.4">
      <c r="A44" s="898" t="s">
        <v>126</v>
      </c>
      <c r="B44" s="147" t="s">
        <v>91</v>
      </c>
      <c r="C44" s="390">
        <f>1/C27*C35*60</f>
        <v>43.325842229494555</v>
      </c>
      <c r="D44" s="149">
        <f t="shared" ref="D44:D50" si="11">C44/C$52</f>
        <v>0.11122130635420428</v>
      </c>
      <c r="E44" s="407">
        <f>1/E27*E35*60</f>
        <v>39.770949088223887</v>
      </c>
      <c r="F44" s="149">
        <f t="shared" ref="F44:F49" si="12">E44/E$52</f>
        <v>0.10190941947138168</v>
      </c>
      <c r="G44" s="407">
        <f>1/G27*G35*60</f>
        <v>54.005405463076769</v>
      </c>
      <c r="H44" s="149">
        <f t="shared" ref="H44:H49" si="13">G44/G$52</f>
        <v>0.14561765706422181</v>
      </c>
      <c r="I44" s="407">
        <f>1/I27*I35*60</f>
        <v>44.078435133659617</v>
      </c>
      <c r="J44" s="149">
        <f t="shared" ref="J44:N49" si="14">I44/I$52</f>
        <v>0.11696111821400737</v>
      </c>
      <c r="K44" s="407">
        <f>1/K27*K35*60</f>
        <v>39.993534994216908</v>
      </c>
      <c r="L44" s="149">
        <f t="shared" si="14"/>
        <v>0.10252098553497985</v>
      </c>
      <c r="M44" s="407">
        <f>1/M27*M35*60</f>
        <v>33.983141724843264</v>
      </c>
      <c r="N44" s="149">
        <f t="shared" si="14"/>
        <v>0.10326906495182014</v>
      </c>
      <c r="O44" s="476">
        <f>O58*O62*7</f>
        <v>62.074183927709683</v>
      </c>
      <c r="P44" s="477">
        <f t="shared" ref="P44:P50" si="15">O44/O$52</f>
        <v>0.14902750186292432</v>
      </c>
      <c r="R44" s="597"/>
      <c r="S44" s="594"/>
      <c r="T44" s="594"/>
      <c r="U44" s="594"/>
      <c r="V44" s="594"/>
      <c r="W44" s="594"/>
      <c r="X44" s="593"/>
    </row>
    <row r="45" spans="1:24" ht="12.75" customHeight="1" thickBot="1" x14ac:dyDescent="0.4">
      <c r="A45" s="899"/>
      <c r="B45" s="155" t="s">
        <v>248</v>
      </c>
      <c r="C45" s="390">
        <f>1/C28*C36*60</f>
        <v>4.1932097311699863</v>
      </c>
      <c r="D45" s="149">
        <f t="shared" si="11"/>
        <v>1.076434386774363E-2</v>
      </c>
      <c r="E45" s="407">
        <f>1/E28*E36*60</f>
        <v>4.3963453711751024</v>
      </c>
      <c r="F45" s="149">
        <f t="shared" si="12"/>
        <v>1.1265232911044896E-2</v>
      </c>
      <c r="G45" s="407">
        <f>1/G28*G36*60</f>
        <v>13.722849154059663</v>
      </c>
      <c r="H45" s="149">
        <f t="shared" si="13"/>
        <v>3.7001650574147185E-2</v>
      </c>
      <c r="I45" s="407">
        <f>1/I28*I36*60</f>
        <v>8.7549118708151141</v>
      </c>
      <c r="J45" s="149">
        <f t="shared" si="14"/>
        <v>2.3230958158350724E-2</v>
      </c>
      <c r="K45" s="407">
        <f>1/K28*K36*60</f>
        <v>6.5725567585188909</v>
      </c>
      <c r="L45" s="149">
        <f t="shared" si="14"/>
        <v>1.6848348025884304E-2</v>
      </c>
      <c r="M45" s="407">
        <f>1/M28*M36*60</f>
        <v>6.0546314441835323</v>
      </c>
      <c r="N45" s="149">
        <f t="shared" si="14"/>
        <v>1.8399008924228757E-2</v>
      </c>
      <c r="O45" s="428">
        <f>O58*O67*7</f>
        <v>6.0077325380396749</v>
      </c>
      <c r="P45" s="425">
        <f t="shared" si="15"/>
        <v>1.4423345026127557E-2</v>
      </c>
      <c r="Q45" s="605"/>
      <c r="R45" s="597"/>
      <c r="S45" s="594"/>
      <c r="T45" s="594"/>
      <c r="U45" s="594"/>
      <c r="V45" s="594"/>
      <c r="W45" s="594"/>
      <c r="X45" s="593"/>
    </row>
    <row r="46" spans="1:24" ht="12.75" customHeight="1" thickBot="1" x14ac:dyDescent="0.4">
      <c r="A46" s="899"/>
      <c r="B46" s="155" t="s">
        <v>93</v>
      </c>
      <c r="C46" s="390">
        <f>IF('user page'!$R$38=1,VLOOKUP(C$5&amp;"_"&amp;1&amp;"_"&amp;$B46&amp;"___",'Scenario Data'!$A$2:$V$12509,21,FALSE)*7,'Calibration Data'!R6*7)</f>
        <v>13.723036077316142</v>
      </c>
      <c r="D46" s="149">
        <f t="shared" si="11"/>
        <v>3.5228259189522104E-2</v>
      </c>
      <c r="E46" s="407">
        <f>VLOOKUP(E$5&amp;"_"&amp;1&amp;"_"&amp;$B46&amp;"___",'Scenario Data'!$A$21:$V$12509,21,FALSE)*7</f>
        <v>17.659254800090611</v>
      </c>
      <c r="F46" s="149">
        <f t="shared" si="12"/>
        <v>4.5250225258197732E-2</v>
      </c>
      <c r="G46" s="407">
        <f>VLOOKUP(G$5&amp;"_"&amp;1&amp;"_"&amp;$B46&amp;"___",'Scenario Data'!$A$21:$V$12509,21,FALSE)*7</f>
        <v>29.434597889658541</v>
      </c>
      <c r="H46" s="149">
        <f t="shared" si="13"/>
        <v>7.9366077239249988E-2</v>
      </c>
      <c r="I46" s="407">
        <f>VLOOKUP(I$5&amp;"_"&amp;1&amp;"_"&amp;$B46&amp;"___",'Scenario Data'!$A$21:$V$12509,21,FALSE)*7</f>
        <v>14.438559088941577</v>
      </c>
      <c r="J46" s="149">
        <f t="shared" si="14"/>
        <v>3.8312385893936741E-2</v>
      </c>
      <c r="K46" s="407">
        <f>VLOOKUP(K$5&amp;"_"&amp;1&amp;"_"&amp;$B46&amp;"___",'Scenario Data'!$A$21:$V$12509,21,FALSE)*7</f>
        <v>14.159489191334206</v>
      </c>
      <c r="L46" s="149">
        <f t="shared" si="14"/>
        <v>3.6296986169824359E-2</v>
      </c>
      <c r="M46" s="407">
        <f>VLOOKUP(M$5&amp;"_"&amp;1&amp;"_"&amp;$B46&amp;"___",'Scenario Data'!$A$21:$V$12509,21,FALSE)*7</f>
        <v>10.977878908361989</v>
      </c>
      <c r="N46" s="149">
        <f t="shared" si="14"/>
        <v>3.3359931792065041E-2</v>
      </c>
      <c r="O46" s="428">
        <f>60*O37/O29</f>
        <v>26.231631408604141</v>
      </c>
      <c r="P46" s="425">
        <f t="shared" si="15"/>
        <v>6.2976816629050025E-2</v>
      </c>
      <c r="R46" s="597"/>
      <c r="S46" s="594"/>
      <c r="T46" s="594"/>
      <c r="U46" s="594"/>
      <c r="V46" s="594"/>
      <c r="W46" s="594"/>
      <c r="X46" s="593"/>
    </row>
    <row r="47" spans="1:24" ht="12.75" customHeight="1" thickBot="1" x14ac:dyDescent="0.4">
      <c r="A47" s="899"/>
      <c r="B47" s="155" t="s">
        <v>193</v>
      </c>
      <c r="C47" s="390">
        <f>IF('user page'!$R$38=1,VLOOKUP(C$5&amp;"_"&amp;1&amp;"_"&amp;$B47&amp;"___",'Scenario Data'!$A$2:$V$12509,21,FALSE)*7,'Calibration Data'!R7*7)</f>
        <v>3.0948335046452007</v>
      </c>
      <c r="D47" s="149">
        <f t="shared" si="11"/>
        <v>7.9447140002987353E-3</v>
      </c>
      <c r="E47" s="407">
        <f>VLOOKUP(E$5&amp;"_"&amp;1&amp;"_"&amp;$B47&amp;"___",'Scenario Data'!$A$21:$V$12509,21,FALSE)*7</f>
        <v>12.211939358213867</v>
      </c>
      <c r="F47" s="149">
        <f t="shared" si="12"/>
        <v>3.1291977665772894E-2</v>
      </c>
      <c r="G47" s="407">
        <f>VLOOKUP(G$5&amp;"_"&amp;1&amp;"_"&amp;$B47&amp;"___",'Scenario Data'!$A$21:$V$12509,21,FALSE)*7</f>
        <v>13.668031305087244</v>
      </c>
      <c r="H47" s="149">
        <f t="shared" si="13"/>
        <v>3.6853842282287927E-2</v>
      </c>
      <c r="I47" s="407">
        <f>VLOOKUP(I$5&amp;"_"&amp;1&amp;"_"&amp;$B47&amp;"___",'Scenario Data'!$A$21:$V$12509,21,FALSE)*7</f>
        <v>10.039469421179636</v>
      </c>
      <c r="J47" s="149">
        <f t="shared" si="14"/>
        <v>2.6639502201379832E-2</v>
      </c>
      <c r="K47" s="407">
        <f>VLOOKUP(K$5&amp;"_"&amp;1&amp;"_"&amp;$B47&amp;"___",'Scenario Data'!$A$21:$V$12509,21,FALSE)*7</f>
        <v>10.342168020198979</v>
      </c>
      <c r="L47" s="149">
        <f t="shared" si="14"/>
        <v>2.6511516377646267E-2</v>
      </c>
      <c r="M47" s="407">
        <f>VLOOKUP(M$5&amp;"_"&amp;1&amp;"_"&amp;$B47&amp;"___",'Scenario Data'!$A$21:$V$12509,21,FALSE)*7</f>
        <v>7.6651690503689558</v>
      </c>
      <c r="N47" s="149">
        <f t="shared" si="14"/>
        <v>2.3293162443263894E-2</v>
      </c>
      <c r="O47" s="428">
        <f>60*O38/O30</f>
        <v>5.9157850571452126</v>
      </c>
      <c r="P47" s="425">
        <f t="shared" si="15"/>
        <v>1.4202597808632946E-2</v>
      </c>
      <c r="R47" s="593"/>
      <c r="S47" s="593"/>
      <c r="T47" s="593"/>
      <c r="U47" s="593"/>
      <c r="V47" s="593"/>
      <c r="W47" s="593"/>
      <c r="X47" s="593"/>
    </row>
    <row r="48" spans="1:24" ht="12.75" customHeight="1" thickBot="1" x14ac:dyDescent="0.4">
      <c r="A48" s="899"/>
      <c r="B48" s="155" t="s">
        <v>251</v>
      </c>
      <c r="C48" s="390">
        <f>IF('user page'!$R$38=1,VLOOKUP(C$5&amp;"_"&amp;1&amp;"_"&amp;$B48&amp;"___",'Scenario Data'!$A$2:$V$12509,21,FALSE)*7,'Calibration Data'!R4*7)</f>
        <v>212.54053604938485</v>
      </c>
      <c r="D48" s="149">
        <f t="shared" si="11"/>
        <v>0.5456105376421948</v>
      </c>
      <c r="E48" s="407">
        <f>VLOOKUP(E$5&amp;"_"&amp;1&amp;"_"&amp;$B48&amp;"___",'Scenario Data'!$A$21:$V$12509,21,FALSE)*7</f>
        <v>218.63548196018561</v>
      </c>
      <c r="F48" s="149">
        <f t="shared" si="12"/>
        <v>0.56023342548306532</v>
      </c>
      <c r="G48" s="407">
        <f>VLOOKUP(G$5&amp;"_"&amp;1&amp;"_"&amp;$B48&amp;"___",'Scenario Data'!$A$21:$V$12509,21,FALSE)*7</f>
        <v>170.39454565836709</v>
      </c>
      <c r="H48" s="149">
        <f t="shared" si="13"/>
        <v>0.45944390755955228</v>
      </c>
      <c r="I48" s="407">
        <f>VLOOKUP(I$5&amp;"_"&amp;1&amp;"_"&amp;$B48&amp;"___",'Scenario Data'!$A$21:$V$12509,21,FALSE)*7</f>
        <v>209.86028965597771</v>
      </c>
      <c r="J48" s="149">
        <f t="shared" si="14"/>
        <v>0.55685947272059488</v>
      </c>
      <c r="K48" s="407">
        <f>VLOOKUP(K$5&amp;"_"&amp;1&amp;"_"&amp;$B48&amp;"___",'Scenario Data'!$A$21:$V$12509,21,FALSE)*7</f>
        <v>219.53568414757001</v>
      </c>
      <c r="L48" s="149">
        <f t="shared" si="14"/>
        <v>0.56276632466120979</v>
      </c>
      <c r="M48" s="407">
        <f>VLOOKUP(M$5&amp;"_"&amp;1&amp;"_"&amp;$B48&amp;"___",'Scenario Data'!$A$21:$V$12509,21,FALSE)*7</f>
        <v>185.4422929212848</v>
      </c>
      <c r="N48" s="149">
        <f t="shared" si="14"/>
        <v>0.56352800890397792</v>
      </c>
      <c r="O48" s="428">
        <f>60*O39/O31</f>
        <v>206.69484086382522</v>
      </c>
      <c r="P48" s="425">
        <f t="shared" si="15"/>
        <v>0.49623231161223719</v>
      </c>
    </row>
    <row r="49" spans="1:17" ht="12.75" customHeight="1" thickBot="1" x14ac:dyDescent="0.4">
      <c r="A49" s="899"/>
      <c r="B49" s="155" t="s">
        <v>252</v>
      </c>
      <c r="C49" s="390">
        <f>IF('user page'!$R$38=1,VLOOKUP(C$5&amp;"_"&amp;1&amp;"_"&amp;$B49&amp;"___",'Scenario Data'!$A$2:$V$12509,21,FALSE)*7,'Calibration Data'!R5*7)</f>
        <v>111.42347690675703</v>
      </c>
      <c r="D49" s="149">
        <f t="shared" si="11"/>
        <v>0.28603401624494179</v>
      </c>
      <c r="E49" s="407">
        <f>VLOOKUP(E$5&amp;"_"&amp;1&amp;"_"&amp;$B49&amp;"___",'Scenario Data'!$A$21:$V$12509,21,FALSE)*7</f>
        <v>97.583861274370761</v>
      </c>
      <c r="F49" s="149">
        <f t="shared" si="12"/>
        <v>0.25004971921053759</v>
      </c>
      <c r="G49" s="407">
        <f>VLOOKUP(G$5&amp;"_"&amp;1&amp;"_"&amp;$B49&amp;"___",'Scenario Data'!$A$21:$V$12509,21,FALSE)*7</f>
        <v>89.645840895395594</v>
      </c>
      <c r="H49" s="149">
        <f t="shared" si="13"/>
        <v>0.24171686528054073</v>
      </c>
      <c r="I49" s="407">
        <f>VLOOKUP(I$5&amp;"_"&amp;1&amp;"_"&amp;$B49&amp;"___",'Scenario Data'!$A$21:$V$12509,21,FALSE)*7</f>
        <v>89.692337215312762</v>
      </c>
      <c r="J49" s="149">
        <f t="shared" si="14"/>
        <v>0.23799656281173048</v>
      </c>
      <c r="K49" s="407">
        <f>VLOOKUP(K$5&amp;"_"&amp;1&amp;"_"&amp;$B49&amp;"___",'Scenario Data'!$A$21:$V$12509,21,FALSE)*7</f>
        <v>99.497528028173036</v>
      </c>
      <c r="L49" s="149">
        <f t="shared" si="14"/>
        <v>0.25505583923045538</v>
      </c>
      <c r="M49" s="407">
        <f>VLOOKUP(M$5&amp;"_"&amp;1&amp;"_"&amp;$B49&amp;"___",'Scenario Data'!$A$21:$V$12509,21,FALSE)*7</f>
        <v>84.950667539838776</v>
      </c>
      <c r="N49" s="149">
        <f t="shared" si="14"/>
        <v>0.2581508229846442</v>
      </c>
      <c r="O49" s="428">
        <f>60*O40/O32</f>
        <v>108.35889593496158</v>
      </c>
      <c r="P49" s="425">
        <f t="shared" si="15"/>
        <v>0.26014769013504979</v>
      </c>
    </row>
    <row r="50" spans="1:17" ht="12.75" customHeight="1" thickBot="1" x14ac:dyDescent="0.4">
      <c r="A50" s="899"/>
      <c r="B50" s="155" t="s">
        <v>195</v>
      </c>
      <c r="C50" s="390">
        <f>'Calibration Data'!R8*7</f>
        <v>1.2453102784299079</v>
      </c>
      <c r="D50" s="153">
        <f t="shared" si="11"/>
        <v>3.1968227010946222E-3</v>
      </c>
      <c r="E50" s="407"/>
      <c r="F50" s="149"/>
      <c r="G50" s="407"/>
      <c r="H50" s="149"/>
      <c r="I50" s="407"/>
      <c r="J50" s="149"/>
      <c r="K50" s="407"/>
      <c r="L50" s="149"/>
      <c r="M50" s="407"/>
      <c r="N50" s="149"/>
      <c r="O50" s="428">
        <f>C50</f>
        <v>1.2453102784299079</v>
      </c>
      <c r="P50" s="425">
        <f t="shared" si="15"/>
        <v>2.9897369259781316E-3</v>
      </c>
    </row>
    <row r="51" spans="1:17" ht="12.75" customHeight="1" thickBot="1" x14ac:dyDescent="0.4">
      <c r="A51" s="899"/>
      <c r="B51" s="155"/>
      <c r="C51" s="407"/>
      <c r="D51" s="149"/>
      <c r="E51" s="407"/>
      <c r="F51" s="149"/>
      <c r="G51" s="407"/>
      <c r="H51" s="149"/>
      <c r="I51" s="407"/>
      <c r="J51" s="149"/>
      <c r="K51" s="407"/>
      <c r="L51" s="149"/>
      <c r="M51" s="407"/>
      <c r="N51" s="149"/>
      <c r="O51" s="428"/>
      <c r="P51" s="425"/>
    </row>
    <row r="52" spans="1:17" ht="12.75" customHeight="1" thickBot="1" x14ac:dyDescent="0.4">
      <c r="A52" s="174"/>
      <c r="B52" s="167" t="s">
        <v>72</v>
      </c>
      <c r="C52" s="389">
        <f t="shared" ref="C52:P52" si="16">SUM(C44:C51)</f>
        <v>389.54624477719767</v>
      </c>
      <c r="D52" s="169">
        <f t="shared" si="16"/>
        <v>0.99999999999999989</v>
      </c>
      <c r="E52" s="389">
        <f t="shared" si="16"/>
        <v>390.25783185225981</v>
      </c>
      <c r="F52" s="169">
        <f t="shared" si="16"/>
        <v>1</v>
      </c>
      <c r="G52" s="389">
        <f t="shared" si="16"/>
        <v>370.87127036564493</v>
      </c>
      <c r="H52" s="169">
        <f t="shared" si="16"/>
        <v>0.99999999999999989</v>
      </c>
      <c r="I52" s="389">
        <f t="shared" si="16"/>
        <v>376.86400238588641</v>
      </c>
      <c r="J52" s="169">
        <f t="shared" si="16"/>
        <v>1</v>
      </c>
      <c r="K52" s="389">
        <f t="shared" ref="K52:L52" si="17">SUM(K44:K51)</f>
        <v>390.10096114001203</v>
      </c>
      <c r="L52" s="169">
        <f t="shared" si="17"/>
        <v>1</v>
      </c>
      <c r="M52" s="389">
        <f t="shared" ref="M52:N52" si="18">SUM(M44:M51)</f>
        <v>329.07378158888133</v>
      </c>
      <c r="N52" s="169">
        <f t="shared" si="18"/>
        <v>1</v>
      </c>
      <c r="O52" s="428">
        <f t="shared" si="16"/>
        <v>416.52838000871543</v>
      </c>
      <c r="P52" s="425">
        <f t="shared" si="16"/>
        <v>1</v>
      </c>
    </row>
    <row r="53" spans="1:17" ht="15.5" hidden="1" x14ac:dyDescent="0.35">
      <c r="B53" s="128" t="s">
        <v>253</v>
      </c>
      <c r="C53" s="130">
        <v>3.4247249157972849E-3</v>
      </c>
      <c r="P53"/>
    </row>
    <row r="54" spans="1:17" hidden="1" x14ac:dyDescent="0.35">
      <c r="B54" s="410" t="s">
        <v>254</v>
      </c>
      <c r="C54" s="320">
        <v>2.655303936748369E-2</v>
      </c>
      <c r="D54" s="321"/>
      <c r="E54" s="320"/>
      <c r="P54"/>
    </row>
    <row r="55" spans="1:17" x14ac:dyDescent="0.35">
      <c r="A55" s="415"/>
      <c r="B55" s="414"/>
      <c r="C55" s="414"/>
      <c r="D55" s="414"/>
      <c r="E55" s="414"/>
      <c r="F55" s="414"/>
      <c r="G55" s="414"/>
      <c r="H55" s="414"/>
      <c r="I55" s="414"/>
      <c r="J55" s="414"/>
      <c r="K55" s="414"/>
      <c r="L55" s="414"/>
      <c r="M55" s="414"/>
      <c r="N55" s="414"/>
      <c r="O55" s="414"/>
      <c r="P55" s="414"/>
    </row>
    <row r="56" spans="1:17" ht="15" customHeight="1" x14ac:dyDescent="0.35">
      <c r="A56" s="901" t="s">
        <v>263</v>
      </c>
      <c r="B56" s="418" t="s">
        <v>262</v>
      </c>
      <c r="C56" s="893">
        <f>'user page'!C34</f>
        <v>1.6482562797981899</v>
      </c>
      <c r="D56" s="893"/>
      <c r="E56" s="893">
        <f>'user page'!E34</f>
        <v>1.6534275628001425</v>
      </c>
      <c r="F56" s="893"/>
      <c r="G56" s="893">
        <f>'user page'!G34</f>
        <v>1.6170763671282047</v>
      </c>
      <c r="H56" s="893"/>
      <c r="I56" s="893">
        <f>'user page'!I34</f>
        <v>1.6400570817305968</v>
      </c>
      <c r="J56" s="893"/>
      <c r="K56" s="893">
        <f>'user page'!K34</f>
        <v>1.6497265612618512</v>
      </c>
      <c r="L56" s="893"/>
      <c r="M56" s="893">
        <f>'user page'!M34</f>
        <v>1.6597988242195738</v>
      </c>
      <c r="N56" s="893"/>
      <c r="O56" s="893">
        <f>'user page'!O34</f>
        <v>1.6165307174189161</v>
      </c>
      <c r="P56" s="893"/>
    </row>
    <row r="57" spans="1:17" x14ac:dyDescent="0.35">
      <c r="A57" s="901"/>
      <c r="B57" s="618" t="s">
        <v>167</v>
      </c>
      <c r="C57" s="894" t="s">
        <v>167</v>
      </c>
      <c r="D57" s="895"/>
      <c r="E57" s="895"/>
      <c r="F57" s="895"/>
      <c r="G57" s="895"/>
      <c r="H57" s="895"/>
      <c r="I57" s="895"/>
      <c r="J57" s="895"/>
      <c r="K57" s="895"/>
      <c r="L57" s="895"/>
      <c r="M57" s="895"/>
      <c r="N57" s="895"/>
      <c r="O57" s="895"/>
      <c r="P57" s="895"/>
      <c r="Q57" s="606"/>
    </row>
    <row r="58" spans="1:17" x14ac:dyDescent="0.35">
      <c r="A58" s="901"/>
      <c r="B58" s="480" t="s">
        <v>300</v>
      </c>
      <c r="C58" s="474">
        <f>SUM(C44:C45)/7</f>
        <v>6.7884359943806487</v>
      </c>
      <c r="D58" s="474"/>
      <c r="E58" s="474"/>
      <c r="F58" s="474"/>
      <c r="G58" s="474"/>
      <c r="H58" s="474"/>
      <c r="I58" s="474"/>
      <c r="J58" s="474"/>
      <c r="K58" s="701"/>
      <c r="L58" s="701"/>
      <c r="M58" s="701"/>
      <c r="N58" s="701"/>
      <c r="O58" s="488">
        <f>SUM(O59:O60)</f>
        <v>9.7259880665356224</v>
      </c>
      <c r="P58" s="474">
        <f>O58+O64</f>
        <v>12.535488066535622</v>
      </c>
      <c r="Q58" s="606" t="s">
        <v>350</v>
      </c>
    </row>
    <row r="59" spans="1:17" ht="21" x14ac:dyDescent="0.35">
      <c r="A59" s="901"/>
      <c r="B59" s="609" t="s">
        <v>301</v>
      </c>
      <c r="C59" s="487">
        <v>7.5250000000000004</v>
      </c>
      <c r="D59" s="417"/>
      <c r="E59" s="417"/>
      <c r="F59" s="417"/>
      <c r="G59" s="417"/>
      <c r="H59" s="417"/>
      <c r="I59" s="417"/>
      <c r="J59" s="417"/>
      <c r="K59" s="417"/>
      <c r="L59" s="417"/>
      <c r="M59" s="417"/>
      <c r="N59" s="417"/>
      <c r="O59" s="617">
        <f>7.943</f>
        <v>7.9429999999999996</v>
      </c>
      <c r="P59" s="485" t="s">
        <v>304</v>
      </c>
      <c r="Q59" s="484"/>
    </row>
    <row r="60" spans="1:17" ht="15.5" x14ac:dyDescent="0.35">
      <c r="A60" s="901"/>
      <c r="B60" s="482" t="s">
        <v>299</v>
      </c>
      <c r="C60" s="417">
        <v>1.1599999999999999</v>
      </c>
      <c r="D60" s="417"/>
      <c r="E60" s="417"/>
      <c r="F60" s="417"/>
      <c r="G60" s="417"/>
      <c r="H60" s="417"/>
      <c r="I60" s="417"/>
      <c r="J60" s="417"/>
      <c r="K60" s="417"/>
      <c r="L60" s="417"/>
      <c r="M60" s="417"/>
      <c r="N60" s="417"/>
      <c r="O60" s="616">
        <f>SUM(O65:O66)</f>
        <v>1.7829880665356233</v>
      </c>
      <c r="P60" s="417"/>
    </row>
    <row r="61" spans="1:17" ht="15.5" x14ac:dyDescent="0.35">
      <c r="A61" s="901"/>
      <c r="B61" s="454" t="s">
        <v>286</v>
      </c>
      <c r="C61" s="417">
        <f>SUM(C44:C45)</f>
        <v>47.519051960664541</v>
      </c>
      <c r="D61" s="417"/>
      <c r="E61" s="417"/>
      <c r="F61" s="417"/>
      <c r="G61" s="417"/>
      <c r="H61" s="417"/>
      <c r="I61" s="417"/>
      <c r="J61" s="417"/>
      <c r="K61" s="417"/>
      <c r="L61" s="417"/>
      <c r="M61" s="417"/>
      <c r="N61" s="417"/>
      <c r="O61" s="421">
        <f>O58*7</f>
        <v>68.081916465749359</v>
      </c>
      <c r="P61" s="417"/>
    </row>
    <row r="62" spans="1:17" ht="15.5" x14ac:dyDescent="0.35">
      <c r="A62" s="901"/>
      <c r="B62" s="637" t="s">
        <v>374</v>
      </c>
      <c r="C62" s="419">
        <f>C44/(C44+C45)</f>
        <v>0.9117572940082842</v>
      </c>
      <c r="D62" s="417"/>
      <c r="E62" s="419"/>
      <c r="F62" s="417"/>
      <c r="G62" s="419"/>
      <c r="H62" s="417"/>
      <c r="I62" s="419"/>
      <c r="J62" s="417"/>
      <c r="K62" s="417"/>
      <c r="L62" s="417"/>
      <c r="M62" s="417"/>
      <c r="N62" s="417"/>
      <c r="O62" s="420">
        <f>1-O67</f>
        <v>0.9117572940082842</v>
      </c>
      <c r="P62" s="417"/>
    </row>
    <row r="63" spans="1:17" ht="15.5" x14ac:dyDescent="0.35">
      <c r="A63" s="901"/>
      <c r="B63" s="480" t="s">
        <v>296</v>
      </c>
      <c r="C63" s="417">
        <f>SUM(C46,C47)/7</f>
        <v>2.4025527974230489</v>
      </c>
      <c r="D63" s="417"/>
      <c r="E63" s="417"/>
      <c r="F63" s="417"/>
      <c r="G63" s="417"/>
      <c r="H63" s="416"/>
      <c r="I63" s="417"/>
      <c r="J63" s="417"/>
      <c r="K63" s="417"/>
      <c r="L63" s="417"/>
      <c r="M63" s="417"/>
      <c r="N63" s="417"/>
      <c r="O63" s="481">
        <f>SUM(O64:O66)</f>
        <v>4.5924880665356227</v>
      </c>
      <c r="P63" s="416"/>
    </row>
    <row r="64" spans="1:17" ht="21" x14ac:dyDescent="0.35">
      <c r="A64" s="901"/>
      <c r="B64" s="609" t="s">
        <v>348</v>
      </c>
      <c r="C64" s="417">
        <v>2.8094999999999999</v>
      </c>
      <c r="D64" s="417"/>
      <c r="E64" s="417"/>
      <c r="F64" s="417"/>
      <c r="G64" s="417"/>
      <c r="H64" s="416"/>
      <c r="I64" s="417"/>
      <c r="J64" s="417"/>
      <c r="K64" s="417"/>
      <c r="L64" s="417"/>
      <c r="M64" s="417"/>
      <c r="N64" s="417"/>
      <c r="O64" s="565">
        <v>2.8094999999999999</v>
      </c>
      <c r="P64" s="485" t="s">
        <v>305</v>
      </c>
    </row>
    <row r="65" spans="1:18" ht="15.5" x14ac:dyDescent="0.35">
      <c r="A65" s="901"/>
      <c r="B65" s="482" t="s">
        <v>297</v>
      </c>
      <c r="C65" s="611">
        <f>VLOOKUP('Calibration Data'!G2&amp;"_Walk",$B$82:$C$84,2,FALSE)</f>
        <v>0.63462824934530104</v>
      </c>
      <c r="D65" s="603" t="s">
        <v>302</v>
      </c>
      <c r="E65" s="417"/>
      <c r="F65" s="417"/>
      <c r="G65" s="417"/>
      <c r="H65" s="416"/>
      <c r="I65" s="417"/>
      <c r="J65" s="417"/>
      <c r="K65" s="417"/>
      <c r="L65" s="417"/>
      <c r="M65" s="417"/>
      <c r="N65" s="417"/>
      <c r="O65" s="481">
        <f>C65*$O$64</f>
        <v>1.7829880665356233</v>
      </c>
      <c r="P65" s="416"/>
    </row>
    <row r="66" spans="1:18" ht="15.5" x14ac:dyDescent="0.35">
      <c r="A66" s="901"/>
      <c r="B66" s="482" t="s">
        <v>298</v>
      </c>
      <c r="C66" s="611">
        <f>VLOOKUP('Calibration Data'!G3&amp;"_Bike",$B$82:$C$84,2,FALSE)</f>
        <v>0</v>
      </c>
      <c r="D66" s="603" t="s">
        <v>303</v>
      </c>
      <c r="E66" s="417"/>
      <c r="F66" s="417"/>
      <c r="G66" s="417"/>
      <c r="H66" s="416"/>
      <c r="I66" s="417"/>
      <c r="J66" s="417"/>
      <c r="K66" s="417"/>
      <c r="L66" s="417"/>
      <c r="M66" s="417"/>
      <c r="N66" s="417"/>
      <c r="O66" s="481">
        <f>C66*$O$64</f>
        <v>0</v>
      </c>
      <c r="P66" s="416"/>
    </row>
    <row r="67" spans="1:18" ht="21" x14ac:dyDescent="0.35">
      <c r="A67" s="901"/>
      <c r="B67" s="486" t="s">
        <v>306</v>
      </c>
      <c r="C67" s="419">
        <f>C45/(C45+C44)</f>
        <v>8.8242705991715784E-2</v>
      </c>
      <c r="D67" s="417"/>
      <c r="E67" s="419"/>
      <c r="F67" s="416"/>
      <c r="G67" s="419"/>
      <c r="H67" s="417"/>
      <c r="I67" s="419"/>
      <c r="J67" s="417"/>
      <c r="K67" s="417"/>
      <c r="L67" s="417"/>
      <c r="M67" s="417"/>
      <c r="N67" s="417"/>
      <c r="O67" s="612">
        <f>C67</f>
        <v>8.8242705991715784E-2</v>
      </c>
      <c r="P67" s="485" t="s">
        <v>355</v>
      </c>
    </row>
    <row r="68" spans="1:18" ht="11.25" customHeight="1" x14ac:dyDescent="0.35">
      <c r="A68" s="557"/>
      <c r="B68" s="486"/>
      <c r="C68" s="419"/>
      <c r="D68" s="417"/>
      <c r="E68" s="419"/>
      <c r="F68" s="416"/>
      <c r="G68" s="419"/>
      <c r="H68" s="417"/>
      <c r="I68" s="419"/>
      <c r="J68" s="417"/>
      <c r="K68" s="417"/>
      <c r="L68" s="417"/>
      <c r="M68" s="417"/>
      <c r="N68" s="417"/>
      <c r="O68" s="558"/>
      <c r="P68" s="485"/>
    </row>
    <row r="69" spans="1:18" s="694" customFormat="1" ht="21" x14ac:dyDescent="0.35">
      <c r="A69" s="691"/>
      <c r="B69" s="692" t="s">
        <v>399</v>
      </c>
      <c r="C69" s="419">
        <v>0</v>
      </c>
      <c r="D69" s="417"/>
      <c r="E69" s="419"/>
      <c r="F69" s="416"/>
      <c r="G69" s="419"/>
      <c r="H69" s="417"/>
      <c r="I69" s="419"/>
      <c r="J69" s="417"/>
      <c r="K69" s="417"/>
      <c r="L69" s="417"/>
      <c r="M69" s="417"/>
      <c r="N69" s="417"/>
      <c r="O69" s="693">
        <v>0</v>
      </c>
      <c r="P69" s="485" t="s">
        <v>400</v>
      </c>
    </row>
    <row r="70" spans="1:18" s="411" customFormat="1" ht="15.75" customHeight="1" x14ac:dyDescent="0.35">
      <c r="A70" s="415"/>
      <c r="B70" s="414"/>
      <c r="C70" s="414"/>
      <c r="D70" s="414"/>
      <c r="E70" s="414"/>
      <c r="F70" s="414"/>
      <c r="G70" s="414"/>
      <c r="H70" s="414"/>
      <c r="I70" s="414"/>
      <c r="J70" s="414"/>
      <c r="K70" s="414"/>
      <c r="L70" s="414"/>
      <c r="M70" s="414"/>
      <c r="N70" s="414"/>
      <c r="O70" s="414"/>
      <c r="P70" s="414"/>
      <c r="Q70" s="412"/>
    </row>
    <row r="71" spans="1:18" s="411" customFormat="1" ht="15.75" customHeight="1" x14ac:dyDescent="0.35">
      <c r="A71" s="896" t="s">
        <v>267</v>
      </c>
      <c r="B71" s="413" t="s">
        <v>261</v>
      </c>
      <c r="C71" s="412">
        <f>LN(C58)-(1/2*(LN(1+(C72/C58)^2)))</f>
        <v>1.2587959265102517</v>
      </c>
      <c r="D71" s="413"/>
      <c r="E71" s="412"/>
      <c r="F71" s="413"/>
      <c r="G71" s="412"/>
      <c r="H71" s="413"/>
      <c r="I71" s="412"/>
      <c r="J71" s="412"/>
      <c r="K71" s="412"/>
      <c r="L71" s="412"/>
      <c r="M71" s="412"/>
      <c r="N71" s="412"/>
      <c r="O71" s="412">
        <f>LN(O58)-(1/2*(LN(1+(O72/O58)^2)))</f>
        <v>1.6325085174041787</v>
      </c>
      <c r="P71" s="412">
        <f>LN(P58)-(1/2*(LN(1+(O72/P58)^2)))</f>
        <v>2.0560103887794403</v>
      </c>
    </row>
    <row r="72" spans="1:18" s="411" customFormat="1" x14ac:dyDescent="0.35">
      <c r="A72" s="896"/>
      <c r="B72" s="412" t="s">
        <v>0</v>
      </c>
      <c r="C72" s="412">
        <f>C58*C56</f>
        <v>11.189082257745975</v>
      </c>
      <c r="D72" s="412"/>
      <c r="E72" s="412"/>
      <c r="F72" s="412"/>
      <c r="G72" s="412"/>
      <c r="H72" s="412"/>
      <c r="I72" s="412"/>
      <c r="J72" s="412"/>
      <c r="K72" s="412"/>
      <c r="L72" s="412"/>
      <c r="M72" s="412"/>
      <c r="N72" s="412"/>
      <c r="O72" s="412">
        <f>O58*O56</f>
        <v>15.722358466804646</v>
      </c>
      <c r="P72" s="412"/>
      <c r="R72" s="412"/>
    </row>
    <row r="73" spans="1:18" s="411" customFormat="1" x14ac:dyDescent="0.35">
      <c r="A73" s="896"/>
      <c r="B73" s="412" t="s">
        <v>264</v>
      </c>
      <c r="C73" s="412">
        <f>SQRT((LN(1+(C72/C58)^2)))</f>
        <v>1.1457963597141494</v>
      </c>
      <c r="D73" s="412"/>
      <c r="E73" s="412"/>
      <c r="F73" s="412"/>
      <c r="G73" s="412"/>
      <c r="H73" s="412"/>
      <c r="I73" s="412"/>
      <c r="J73" s="412"/>
      <c r="K73" s="412"/>
      <c r="L73" s="412"/>
      <c r="M73" s="412"/>
      <c r="N73" s="412"/>
      <c r="O73" s="412">
        <f>SQRT((LN(1+(O72/O58)^2)))</f>
        <v>1.1333957540165538</v>
      </c>
      <c r="P73" s="412"/>
    </row>
    <row r="74" spans="1:18" s="411" customFormat="1" x14ac:dyDescent="0.35">
      <c r="A74" s="896"/>
      <c r="B74" s="412" t="s">
        <v>265</v>
      </c>
      <c r="C74" s="412">
        <f>NORMINV(0.5,C71,C73)</f>
        <v>1.2587959265102517</v>
      </c>
      <c r="D74" s="412"/>
      <c r="E74" s="412"/>
      <c r="F74" s="412"/>
      <c r="G74" s="412"/>
      <c r="H74" s="412"/>
      <c r="I74" s="412"/>
      <c r="J74" s="412"/>
      <c r="K74" s="412"/>
      <c r="L74" s="412"/>
      <c r="M74" s="412"/>
      <c r="N74" s="412"/>
      <c r="O74" s="412">
        <f>NORMINV(0.5,O71,O73)</f>
        <v>1.6325085174041787</v>
      </c>
      <c r="P74" s="412">
        <f>NORMINV(0.5,P71,O73)</f>
        <v>2.0560103887794403</v>
      </c>
    </row>
    <row r="75" spans="1:18" s="411" customFormat="1" x14ac:dyDescent="0.35">
      <c r="A75" s="896"/>
      <c r="B75" s="610" t="s">
        <v>347</v>
      </c>
      <c r="C75" s="412">
        <f>EXP(C74)</f>
        <v>3.5211791753525112</v>
      </c>
      <c r="D75" s="412"/>
      <c r="E75" s="412"/>
      <c r="F75" s="412"/>
      <c r="G75" s="412"/>
      <c r="H75" s="412"/>
      <c r="I75" s="412"/>
      <c r="J75" s="412"/>
      <c r="K75" s="412"/>
      <c r="L75" s="412"/>
      <c r="M75" s="412"/>
      <c r="N75" s="412"/>
      <c r="O75" s="412">
        <f>EXP(O74)</f>
        <v>5.1166939490060388</v>
      </c>
      <c r="P75" s="412">
        <f>EXP(P74)</f>
        <v>7.8147298003115093</v>
      </c>
      <c r="Q75" s="615" t="s">
        <v>354</v>
      </c>
    </row>
    <row r="76" spans="1:18" s="411" customFormat="1" x14ac:dyDescent="0.35">
      <c r="A76" s="896" t="s">
        <v>268</v>
      </c>
      <c r="B76" s="413" t="s">
        <v>261</v>
      </c>
      <c r="C76" s="412">
        <f>LN(C61)-(1/2*(LN(1+(C77/C61)^2)))</f>
        <v>3.2047060755655652</v>
      </c>
      <c r="D76" s="412"/>
      <c r="E76" s="412"/>
      <c r="F76" s="412"/>
      <c r="G76" s="412"/>
      <c r="H76" s="412"/>
      <c r="I76" s="412"/>
      <c r="J76" s="412"/>
      <c r="K76" s="412"/>
      <c r="L76" s="412"/>
      <c r="M76" s="412"/>
      <c r="N76" s="412"/>
      <c r="O76" s="412">
        <f>LN(O61)-(1/2*(LN(1+(O77/O61)^2)))</f>
        <v>3.5784186664594921</v>
      </c>
      <c r="P76" s="412"/>
    </row>
    <row r="77" spans="1:18" s="411" customFormat="1" x14ac:dyDescent="0.35">
      <c r="A77" s="896"/>
      <c r="B77" s="412" t="s">
        <v>0</v>
      </c>
      <c r="C77" s="412">
        <f>C61*C56</f>
        <v>78.323575804221818</v>
      </c>
      <c r="D77" s="412"/>
      <c r="E77" s="412"/>
      <c r="F77" s="412"/>
      <c r="G77" s="412"/>
      <c r="H77" s="412"/>
      <c r="I77" s="412"/>
      <c r="J77" s="412"/>
      <c r="K77" s="412"/>
      <c r="L77" s="412"/>
      <c r="M77" s="412"/>
      <c r="N77" s="412"/>
      <c r="O77" s="412">
        <f>O61*O56</f>
        <v>110.05650926763252</v>
      </c>
      <c r="P77" s="412"/>
    </row>
    <row r="78" spans="1:18" s="411" customFormat="1" x14ac:dyDescent="0.35">
      <c r="A78" s="896"/>
      <c r="B78" s="412" t="s">
        <v>264</v>
      </c>
      <c r="C78" s="412">
        <f>SQRT((LN(1+(C77/C61)^2)))</f>
        <v>1.1457963597141492</v>
      </c>
      <c r="D78" s="412"/>
      <c r="E78" s="412"/>
      <c r="F78" s="412"/>
      <c r="G78" s="412"/>
      <c r="H78" s="412"/>
      <c r="I78" s="412"/>
      <c r="J78" s="412"/>
      <c r="K78" s="412"/>
      <c r="L78" s="412"/>
      <c r="M78" s="412"/>
      <c r="N78" s="412"/>
      <c r="O78" s="412">
        <f>SQRT((LN(1+(O77/O61)^2)))</f>
        <v>1.1333957540165538</v>
      </c>
      <c r="P78" s="412"/>
    </row>
    <row r="79" spans="1:18" s="411" customFormat="1" x14ac:dyDescent="0.35">
      <c r="A79" s="896"/>
      <c r="B79" s="412" t="s">
        <v>265</v>
      </c>
      <c r="C79" s="412">
        <f>NORMINV(0.5,C76,C78)</f>
        <v>3.2047060755655652</v>
      </c>
      <c r="D79" s="412"/>
      <c r="E79" s="412"/>
      <c r="F79" s="412"/>
      <c r="G79" s="412"/>
      <c r="H79" s="412"/>
      <c r="I79" s="412"/>
      <c r="J79" s="412"/>
      <c r="K79" s="412"/>
      <c r="L79" s="412"/>
      <c r="M79" s="412"/>
      <c r="N79" s="412"/>
      <c r="O79" s="412">
        <f>NORMINV(0.5,O76,O78)</f>
        <v>3.5784186664594921</v>
      </c>
      <c r="P79" s="412"/>
    </row>
    <row r="80" spans="1:18" s="411" customFormat="1" x14ac:dyDescent="0.35">
      <c r="A80" s="896"/>
      <c r="B80" s="412" t="s">
        <v>266</v>
      </c>
      <c r="C80" s="412">
        <f>EXP(C79)</f>
        <v>24.648254227467582</v>
      </c>
      <c r="D80" s="412"/>
      <c r="E80" s="412"/>
      <c r="F80" s="412"/>
      <c r="G80" s="412"/>
      <c r="H80" s="412"/>
      <c r="I80" s="412"/>
      <c r="J80" s="412"/>
      <c r="K80" s="412"/>
      <c r="L80" s="412"/>
      <c r="M80" s="412"/>
      <c r="N80" s="412"/>
      <c r="O80" s="412">
        <f>EXP(O79)</f>
        <v>35.816857643042283</v>
      </c>
      <c r="P80" s="412"/>
    </row>
    <row r="81" spans="1:16" s="411" customFormat="1" x14ac:dyDescent="0.35">
      <c r="B81" s="412"/>
      <c r="C81" s="412"/>
      <c r="D81" s="412"/>
      <c r="E81" s="412"/>
      <c r="F81" s="412"/>
      <c r="G81" s="412"/>
      <c r="H81" s="412"/>
      <c r="I81" s="412"/>
      <c r="J81" s="412"/>
      <c r="K81" s="412"/>
      <c r="L81" s="412"/>
      <c r="M81" s="412"/>
      <c r="N81" s="412"/>
      <c r="O81" s="412"/>
      <c r="P81" s="412"/>
    </row>
    <row r="82" spans="1:16" x14ac:dyDescent="0.35">
      <c r="B82" s="266" t="s">
        <v>352</v>
      </c>
      <c r="C82" s="266" t="s">
        <v>353</v>
      </c>
      <c r="O82"/>
    </row>
    <row r="83" spans="1:16" x14ac:dyDescent="0.35">
      <c r="B83" s="636" t="s">
        <v>373</v>
      </c>
      <c r="C83" s="126">
        <v>0</v>
      </c>
      <c r="P83"/>
    </row>
    <row r="84" spans="1:16" x14ac:dyDescent="0.35">
      <c r="B84" s="636" t="s">
        <v>372</v>
      </c>
      <c r="C84" s="126">
        <v>0.63462824934530104</v>
      </c>
      <c r="P84"/>
    </row>
    <row r="85" spans="1:16" x14ac:dyDescent="0.35">
      <c r="P85"/>
    </row>
    <row r="86" spans="1:16" x14ac:dyDescent="0.35">
      <c r="P86"/>
    </row>
    <row r="87" spans="1:16" x14ac:dyDescent="0.35">
      <c r="P87"/>
    </row>
    <row r="88" spans="1:16" x14ac:dyDescent="0.35">
      <c r="A88" s="797"/>
      <c r="B88" s="798"/>
      <c r="P88"/>
    </row>
    <row r="89" spans="1:16" x14ac:dyDescent="0.35">
      <c r="A89" s="943"/>
      <c r="B89" s="799"/>
      <c r="P89"/>
    </row>
    <row r="90" spans="1:16" x14ac:dyDescent="0.35">
      <c r="A90" s="943"/>
      <c r="B90" s="799"/>
      <c r="P90"/>
    </row>
    <row r="91" spans="1:16" x14ac:dyDescent="0.35">
      <c r="A91" s="943"/>
      <c r="B91" s="799"/>
      <c r="P91"/>
    </row>
    <row r="92" spans="1:16" x14ac:dyDescent="0.35">
      <c r="A92" s="943"/>
      <c r="B92" s="799"/>
      <c r="P92"/>
    </row>
    <row r="93" spans="1:16" x14ac:dyDescent="0.35">
      <c r="A93" s="943"/>
      <c r="B93" s="799"/>
      <c r="P93"/>
    </row>
    <row r="94" spans="1:16" x14ac:dyDescent="0.35">
      <c r="A94" s="943"/>
      <c r="B94" s="799"/>
      <c r="P94"/>
    </row>
    <row r="95" spans="1:16" x14ac:dyDescent="0.35">
      <c r="A95" s="943"/>
      <c r="B95" s="799"/>
      <c r="P95"/>
    </row>
    <row r="96" spans="1:16" x14ac:dyDescent="0.35">
      <c r="A96" s="800"/>
      <c r="B96" s="799"/>
      <c r="P96"/>
    </row>
    <row r="97" spans="1:16" x14ac:dyDescent="0.35">
      <c r="A97" s="800"/>
      <c r="B97" s="799"/>
      <c r="P97"/>
    </row>
    <row r="98" spans="1:16" x14ac:dyDescent="0.35">
      <c r="A98" s="943"/>
      <c r="B98" s="799"/>
      <c r="P98"/>
    </row>
    <row r="99" spans="1:16" x14ac:dyDescent="0.35">
      <c r="A99" s="943"/>
      <c r="B99" s="799"/>
      <c r="P99"/>
    </row>
    <row r="100" spans="1:16" x14ac:dyDescent="0.35">
      <c r="A100" s="943"/>
      <c r="B100" s="799"/>
      <c r="P100"/>
    </row>
    <row r="101" spans="1:16" x14ac:dyDescent="0.35">
      <c r="A101" s="943"/>
      <c r="B101" s="799"/>
      <c r="P101"/>
    </row>
    <row r="102" spans="1:16" x14ac:dyDescent="0.35">
      <c r="A102" s="943"/>
      <c r="B102" s="799"/>
      <c r="P102"/>
    </row>
    <row r="103" spans="1:16" x14ac:dyDescent="0.35">
      <c r="A103" s="943"/>
      <c r="B103" s="799"/>
      <c r="P103"/>
    </row>
    <row r="104" spans="1:16" x14ac:dyDescent="0.35">
      <c r="A104" s="943"/>
      <c r="B104" s="799"/>
      <c r="P104"/>
    </row>
    <row r="105" spans="1:16" x14ac:dyDescent="0.35">
      <c r="A105" s="943"/>
      <c r="B105" s="799"/>
      <c r="P105"/>
    </row>
    <row r="106" spans="1:16" x14ac:dyDescent="0.35">
      <c r="P106"/>
    </row>
    <row r="107" spans="1:16" x14ac:dyDescent="0.35">
      <c r="P107"/>
    </row>
    <row r="108" spans="1:16" x14ac:dyDescent="0.35">
      <c r="P108"/>
    </row>
    <row r="109" spans="1:16" x14ac:dyDescent="0.35">
      <c r="P109"/>
    </row>
    <row r="110" spans="1:16" x14ac:dyDescent="0.35">
      <c r="P110"/>
    </row>
    <row r="111" spans="1:16" x14ac:dyDescent="0.35">
      <c r="P111"/>
    </row>
    <row r="112" spans="1:16" x14ac:dyDescent="0.35">
      <c r="P112"/>
    </row>
    <row r="113" spans="16:16" x14ac:dyDescent="0.35">
      <c r="P113"/>
    </row>
    <row r="114" spans="16:16" x14ac:dyDescent="0.35">
      <c r="P114"/>
    </row>
    <row r="115" spans="16:16" x14ac:dyDescent="0.35">
      <c r="P115"/>
    </row>
    <row r="116" spans="16:16" x14ac:dyDescent="0.35">
      <c r="P116"/>
    </row>
    <row r="117" spans="16:16" x14ac:dyDescent="0.35">
      <c r="P117"/>
    </row>
    <row r="118" spans="16:16" x14ac:dyDescent="0.35">
      <c r="P118"/>
    </row>
    <row r="119" spans="16:16" x14ac:dyDescent="0.35">
      <c r="P119"/>
    </row>
    <row r="120" spans="16:16" x14ac:dyDescent="0.35">
      <c r="P120"/>
    </row>
    <row r="121" spans="16:16" x14ac:dyDescent="0.35">
      <c r="P121"/>
    </row>
    <row r="122" spans="16:16" x14ac:dyDescent="0.35">
      <c r="P122"/>
    </row>
    <row r="123" spans="16:16" x14ac:dyDescent="0.35">
      <c r="P123"/>
    </row>
    <row r="124" spans="16:16" x14ac:dyDescent="0.35">
      <c r="P124"/>
    </row>
    <row r="125" spans="16:16" x14ac:dyDescent="0.35">
      <c r="P125"/>
    </row>
    <row r="126" spans="16:16" x14ac:dyDescent="0.35">
      <c r="P126"/>
    </row>
    <row r="127" spans="16:16" x14ac:dyDescent="0.35">
      <c r="P127"/>
    </row>
  </sheetData>
  <mergeCells count="134">
    <mergeCell ref="A89:A95"/>
    <mergeCell ref="A98:A105"/>
    <mergeCell ref="K56:L56"/>
    <mergeCell ref="M56:N56"/>
    <mergeCell ref="K32:L32"/>
    <mergeCell ref="K33:L33"/>
    <mergeCell ref="M27:N27"/>
    <mergeCell ref="M28:N28"/>
    <mergeCell ref="M29:N29"/>
    <mergeCell ref="M30:N30"/>
    <mergeCell ref="M31:N31"/>
    <mergeCell ref="M32:N32"/>
    <mergeCell ref="M33:N33"/>
    <mergeCell ref="I34:J34"/>
    <mergeCell ref="I30:J30"/>
    <mergeCell ref="C31:D31"/>
    <mergeCell ref="E31:F31"/>
    <mergeCell ref="G31:H31"/>
    <mergeCell ref="I31:J31"/>
    <mergeCell ref="I33:J33"/>
    <mergeCell ref="I32:J32"/>
    <mergeCell ref="C30:D30"/>
    <mergeCell ref="E30:F30"/>
    <mergeCell ref="G30:H30"/>
    <mergeCell ref="K5:L5"/>
    <mergeCell ref="M5:N5"/>
    <mergeCell ref="K4:L4"/>
    <mergeCell ref="M4:N4"/>
    <mergeCell ref="K27:L27"/>
    <mergeCell ref="K28:L28"/>
    <mergeCell ref="K29:L29"/>
    <mergeCell ref="K30:L30"/>
    <mergeCell ref="K31:L31"/>
    <mergeCell ref="O21:P21"/>
    <mergeCell ref="O22:P22"/>
    <mergeCell ref="I21:J21"/>
    <mergeCell ref="C22:D22"/>
    <mergeCell ref="A2:B3"/>
    <mergeCell ref="O26:P26"/>
    <mergeCell ref="O27:P27"/>
    <mergeCell ref="O28:P28"/>
    <mergeCell ref="O29:P29"/>
    <mergeCell ref="O4:P4"/>
    <mergeCell ref="O5:P5"/>
    <mergeCell ref="O18:P18"/>
    <mergeCell ref="O19:P19"/>
    <mergeCell ref="O20:P20"/>
    <mergeCell ref="A6:A17"/>
    <mergeCell ref="C4:D4"/>
    <mergeCell ref="E4:F4"/>
    <mergeCell ref="G4:H4"/>
    <mergeCell ref="I4:J4"/>
    <mergeCell ref="C5:D5"/>
    <mergeCell ref="E5:F5"/>
    <mergeCell ref="G5:H5"/>
    <mergeCell ref="I5:J5"/>
    <mergeCell ref="A5:B5"/>
    <mergeCell ref="C34:D34"/>
    <mergeCell ref="C33:D33"/>
    <mergeCell ref="E33:F33"/>
    <mergeCell ref="G33:H33"/>
    <mergeCell ref="E34:F34"/>
    <mergeCell ref="G34:H34"/>
    <mergeCell ref="E22:F22"/>
    <mergeCell ref="G22:H22"/>
    <mergeCell ref="I22:J22"/>
    <mergeCell ref="C23:D23"/>
    <mergeCell ref="E23:F23"/>
    <mergeCell ref="O23:P23"/>
    <mergeCell ref="O24:P24"/>
    <mergeCell ref="C28:D28"/>
    <mergeCell ref="E28:F28"/>
    <mergeCell ref="G28:H28"/>
    <mergeCell ref="I28:J28"/>
    <mergeCell ref="C27:D27"/>
    <mergeCell ref="E27:F27"/>
    <mergeCell ref="G27:H27"/>
    <mergeCell ref="I27:J27"/>
    <mergeCell ref="I25:J25"/>
    <mergeCell ref="O25:P25"/>
    <mergeCell ref="G23:H23"/>
    <mergeCell ref="I23:J23"/>
    <mergeCell ref="C24:D24"/>
    <mergeCell ref="E24:F24"/>
    <mergeCell ref="G24:H24"/>
    <mergeCell ref="I24:J24"/>
    <mergeCell ref="C3:P3"/>
    <mergeCell ref="A18:A26"/>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C26:D26"/>
    <mergeCell ref="E26:F26"/>
    <mergeCell ref="G26:H26"/>
    <mergeCell ref="I26:J26"/>
    <mergeCell ref="C25:D25"/>
    <mergeCell ref="E25:F25"/>
    <mergeCell ref="G25:H25"/>
    <mergeCell ref="O56:P56"/>
    <mergeCell ref="C57:P57"/>
    <mergeCell ref="A71:A75"/>
    <mergeCell ref="A76:A80"/>
    <mergeCell ref="C29:D29"/>
    <mergeCell ref="E29:F29"/>
    <mergeCell ref="C56:D56"/>
    <mergeCell ref="E56:F56"/>
    <mergeCell ref="G56:H56"/>
    <mergeCell ref="I56:J56"/>
    <mergeCell ref="A44:A51"/>
    <mergeCell ref="C32:D32"/>
    <mergeCell ref="E32:F32"/>
    <mergeCell ref="G32:H32"/>
    <mergeCell ref="A35:A41"/>
    <mergeCell ref="A27:A33"/>
    <mergeCell ref="O30:P30"/>
    <mergeCell ref="O31:P31"/>
    <mergeCell ref="O32:P32"/>
    <mergeCell ref="A56:A67"/>
    <mergeCell ref="O33:P33"/>
    <mergeCell ref="O34:P34"/>
    <mergeCell ref="G29:H29"/>
    <mergeCell ref="I29:J29"/>
  </mergeCells>
  <pageMargins left="0.70866141732283472" right="0.70866141732283472" top="0.74803149606299213" bottom="0.74803149606299213" header="0.31496062992125984" footer="0.31496062992125984"/>
  <pageSetup paperSize="9" scale="94"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zoomScale="90" zoomScaleNormal="90" workbookViewId="0">
      <selection activeCell="B10" sqref="B10"/>
    </sheetView>
  </sheetViews>
  <sheetFormatPr defaultRowHeight="13" x14ac:dyDescent="0.3"/>
  <cols>
    <col min="1" max="1" width="41.26953125" customWidth="1"/>
    <col min="5" max="5" width="10.453125" customWidth="1"/>
    <col min="8" max="8" width="12.81640625" customWidth="1"/>
    <col min="9" max="9" width="9" customWidth="1"/>
    <col min="10" max="10" width="12.54296875" bestFit="1" customWidth="1"/>
    <col min="11" max="11" width="8.453125" style="545" customWidth="1"/>
    <col min="12" max="12" width="9" style="545" customWidth="1"/>
    <col min="13" max="13" width="7" style="552" customWidth="1"/>
    <col min="14" max="14" width="8.81640625" style="322" customWidth="1"/>
    <col min="15" max="15" width="8.81640625" style="545" customWidth="1"/>
    <col min="16" max="16" width="39.26953125" customWidth="1"/>
  </cols>
  <sheetData>
    <row r="1" spans="1:26" s="322" customFormat="1" x14ac:dyDescent="0.3">
      <c r="A1" s="266" t="s">
        <v>312</v>
      </c>
      <c r="B1" s="266"/>
      <c r="C1" s="266"/>
      <c r="D1" s="266"/>
      <c r="E1" s="266"/>
      <c r="F1" s="266"/>
      <c r="G1" s="266"/>
      <c r="H1" s="266"/>
      <c r="I1" s="266"/>
      <c r="J1" s="266"/>
      <c r="K1" s="263"/>
      <c r="L1" s="263"/>
      <c r="M1" s="566"/>
      <c r="N1" s="263"/>
      <c r="O1" s="263"/>
      <c r="P1" s="266"/>
      <c r="Q1" s="266"/>
      <c r="R1" s="266"/>
      <c r="S1" s="266"/>
    </row>
    <row r="2" spans="1:26" x14ac:dyDescent="0.3">
      <c r="A2" s="323" t="s">
        <v>376</v>
      </c>
      <c r="D2" t="str">
        <f>J2</f>
        <v>Year</v>
      </c>
      <c r="E2" s="323" t="s">
        <v>311</v>
      </c>
      <c r="I2" s="492">
        <v>365</v>
      </c>
      <c r="J2" s="323" t="str">
        <f>IF(I2=1,"Day",IF(I2=7,"Week","Year"))</f>
        <v>Year</v>
      </c>
      <c r="K2" s="312"/>
      <c r="L2" s="312"/>
      <c r="M2" s="566"/>
      <c r="N2" s="263"/>
      <c r="O2" s="263"/>
      <c r="P2" t="str">
        <f>CONCATENATE(A2," ",J2)</f>
        <v>Scenario Distances by Mode in km per Person per Year</v>
      </c>
    </row>
    <row r="3" spans="1:26" s="322" customFormat="1" ht="14.25" customHeight="1" x14ac:dyDescent="0.25">
      <c r="A3" s="549" t="s">
        <v>375</v>
      </c>
      <c r="B3" s="553"/>
      <c r="C3" s="553"/>
      <c r="D3" s="598"/>
      <c r="E3" s="598"/>
      <c r="F3" s="553"/>
      <c r="G3" s="553"/>
      <c r="H3" s="553"/>
      <c r="I3" s="553"/>
      <c r="J3" s="553"/>
      <c r="K3" s="953"/>
      <c r="L3" s="953"/>
      <c r="M3" s="953"/>
      <c r="N3" s="953"/>
      <c r="O3" s="547"/>
      <c r="P3" s="323" t="str">
        <f>CONCATENATE("Scenario Distances in km per Person per ",J2)</f>
        <v>Scenario Distances in km per Person per Year</v>
      </c>
    </row>
    <row r="4" spans="1:26" s="545" customFormat="1" ht="19.5" customHeight="1" x14ac:dyDescent="0.25">
      <c r="A4" s="263"/>
      <c r="B4" s="263"/>
      <c r="C4" s="263"/>
      <c r="D4" s="954" t="s">
        <v>308</v>
      </c>
      <c r="E4" s="954"/>
      <c r="F4" s="263"/>
      <c r="G4" s="263"/>
      <c r="H4" s="263"/>
      <c r="I4" s="263"/>
      <c r="J4" s="263"/>
      <c r="K4" s="952"/>
      <c r="L4" s="952"/>
      <c r="M4" s="952"/>
      <c r="N4" s="952"/>
      <c r="O4" s="548"/>
      <c r="P4" s="323"/>
    </row>
    <row r="5" spans="1:26" ht="27.75" customHeight="1" x14ac:dyDescent="0.25">
      <c r="A5" s="266" t="s">
        <v>61</v>
      </c>
      <c r="B5" s="491" t="s">
        <v>249</v>
      </c>
      <c r="C5" s="491" t="s">
        <v>250</v>
      </c>
      <c r="D5" s="495" t="s">
        <v>309</v>
      </c>
      <c r="E5" s="491" t="s">
        <v>307</v>
      </c>
      <c r="F5" s="491" t="s">
        <v>242</v>
      </c>
      <c r="G5" s="491" t="s">
        <v>289</v>
      </c>
      <c r="H5" s="491" t="s">
        <v>290</v>
      </c>
      <c r="I5" s="491"/>
      <c r="J5" s="491" t="s">
        <v>70</v>
      </c>
      <c r="K5" s="689"/>
      <c r="L5" s="555"/>
      <c r="M5" s="72"/>
      <c r="N5" s="555"/>
      <c r="O5" s="555"/>
      <c r="P5" s="266" t="str">
        <f>A5</f>
        <v>Scenario</v>
      </c>
      <c r="Q5" s="498" t="s">
        <v>269</v>
      </c>
      <c r="R5" s="499" t="s">
        <v>270</v>
      </c>
      <c r="S5" s="499" t="s">
        <v>308</v>
      </c>
      <c r="Z5" s="322"/>
    </row>
    <row r="6" spans="1:26" ht="12.5" x14ac:dyDescent="0.25">
      <c r="A6" s="489" t="str">
        <f>'Visions person'!C4</f>
        <v>Baseline 2013 (0)</v>
      </c>
      <c r="B6" s="546">
        <f>'user page'!C24*$I$2</f>
        <v>181.78604788483881</v>
      </c>
      <c r="C6" s="546">
        <f>'user page'!C25*$I$2</f>
        <v>70.375203004773056</v>
      </c>
      <c r="D6" s="546">
        <f>'user page'!C28*$I$2</f>
        <v>6838.460924662284</v>
      </c>
      <c r="E6" s="546">
        <f>'user page'!C29*$I$2</f>
        <v>3850.9374836275215</v>
      </c>
      <c r="F6" s="546">
        <f>'user page'!C26*$I$2</f>
        <v>250.12128020181919</v>
      </c>
      <c r="G6" s="546">
        <f>'user page'!C27*$I$2</f>
        <v>102.78262202809796</v>
      </c>
      <c r="H6" s="546">
        <f>'user page'!C30*$I$2</f>
        <v>45.688020907533357</v>
      </c>
      <c r="I6" s="546"/>
      <c r="J6" s="546">
        <f>'user page'!C31*$I$2</f>
        <v>11340.151582316867</v>
      </c>
      <c r="K6" s="316"/>
      <c r="L6" s="316"/>
      <c r="M6" s="556"/>
      <c r="N6" s="556"/>
      <c r="O6" s="556"/>
      <c r="P6" t="str">
        <f>A6</f>
        <v>Baseline 2013 (0)</v>
      </c>
      <c r="Q6" s="188">
        <f>SUM(B6:C6)</f>
        <v>252.16125088961186</v>
      </c>
      <c r="R6" s="188">
        <f>SUM(F6:G6)</f>
        <v>352.90390222991715</v>
      </c>
      <c r="S6" s="186">
        <f>SUM(D6:E6)</f>
        <v>10689.398408289806</v>
      </c>
    </row>
    <row r="7" spans="1:26" ht="12.5" x14ac:dyDescent="0.25">
      <c r="A7" s="489" t="str">
        <f>'Visions person'!E4</f>
        <v>Base case 2043 (1)</v>
      </c>
      <c r="B7" s="546">
        <f>'user page'!E24*$I$2</f>
        <v>166.87046998605339</v>
      </c>
      <c r="C7" s="546">
        <f>'user page'!E25*$I$2</f>
        <v>73.78445577755906</v>
      </c>
      <c r="D7" s="546">
        <f>'user page'!E28*$I$2</f>
        <v>7020.1048250299918</v>
      </c>
      <c r="E7" s="546">
        <f>'user page'!E29*$I$2</f>
        <v>3436.6328531423574</v>
      </c>
      <c r="F7" s="546">
        <f>'user page'!E26*$I$2</f>
        <v>309.1866730320275</v>
      </c>
      <c r="G7" s="546">
        <f>'user page'!E27*$I$2</f>
        <v>340.89081536091174</v>
      </c>
      <c r="H7" s="546">
        <f>'user page'!E30*$I$2</f>
        <v>45.688020907533357</v>
      </c>
      <c r="I7" s="546"/>
      <c r="J7" s="546">
        <f>'user page'!E31*$I$2</f>
        <v>11393.158113236434</v>
      </c>
      <c r="K7" s="316"/>
      <c r="L7" s="316"/>
      <c r="M7" s="556"/>
      <c r="N7" s="556"/>
      <c r="O7" s="556"/>
      <c r="P7" s="322" t="str">
        <f t="shared" ref="P7:P12" si="0">A7</f>
        <v>Base case 2043 (1)</v>
      </c>
      <c r="Q7" s="188">
        <f t="shared" ref="Q7:Q12" si="1">SUM(B7:C7)</f>
        <v>240.65492576361245</v>
      </c>
      <c r="R7" s="188">
        <f t="shared" ref="R7:R12" si="2">SUM(F7:G7)</f>
        <v>650.07748839293924</v>
      </c>
      <c r="S7" s="186">
        <f t="shared" ref="S7:S12" si="3">SUM(D7:E7)</f>
        <v>10456.737678172349</v>
      </c>
    </row>
    <row r="8" spans="1:26" ht="12.5" x14ac:dyDescent="0.25">
      <c r="A8" s="489" t="str">
        <f>'Visions person'!G4</f>
        <v>Scenario A: staying close to the action (2)</v>
      </c>
      <c r="B8" s="546">
        <f>'user page'!G24*$I$2</f>
        <v>226.59523089126901</v>
      </c>
      <c r="C8" s="546">
        <f>'user page'!G25*$I$2</f>
        <v>230.31242340252908</v>
      </c>
      <c r="D8" s="546">
        <f>'user page'!G28*$I$2</f>
        <v>5764.0238912162376</v>
      </c>
      <c r="E8" s="546">
        <f>'user page'!G29*$I$2</f>
        <v>3321.5791006670761</v>
      </c>
      <c r="F8" s="546">
        <f>'user page'!G26*$I$2</f>
        <v>726.11209197603728</v>
      </c>
      <c r="G8" s="546">
        <f>'user page'!G27*$I$2</f>
        <v>393.76489314414886</v>
      </c>
      <c r="H8" s="546">
        <f>'user page'!G30*$I$2</f>
        <v>45.688020907533357</v>
      </c>
      <c r="I8" s="546"/>
      <c r="J8" s="546">
        <f>'user page'!G31*$I$2</f>
        <v>10708.07601720483</v>
      </c>
      <c r="K8" s="316"/>
      <c r="L8" s="316"/>
      <c r="M8" s="556"/>
      <c r="N8" s="556"/>
      <c r="O8" s="556"/>
      <c r="P8" s="322" t="str">
        <f t="shared" si="0"/>
        <v>Scenario A: staying close to the action (2)</v>
      </c>
      <c r="Q8" s="188">
        <f t="shared" si="1"/>
        <v>456.90765429379809</v>
      </c>
      <c r="R8" s="188">
        <f t="shared" si="2"/>
        <v>1119.8769851201862</v>
      </c>
      <c r="S8" s="186">
        <f t="shared" si="3"/>
        <v>9085.6029918833137</v>
      </c>
    </row>
    <row r="9" spans="1:26" ht="12.5" x14ac:dyDescent="0.25">
      <c r="A9" s="489" t="str">
        <f>'Visions person'!I4</f>
        <v>Scenario B: metro-connected (3)</v>
      </c>
      <c r="B9" s="546">
        <f>'user page'!I24*$I$2</f>
        <v>184.9437681431009</v>
      </c>
      <c r="C9" s="546">
        <f>'user page'!I25*$I$2</f>
        <v>146.93486367198699</v>
      </c>
      <c r="D9" s="546">
        <f>'user page'!I28*$I$2</f>
        <v>6915.717583603513</v>
      </c>
      <c r="E9" s="546">
        <f>'user page'!I29*$I$2</f>
        <v>3334.8429543260045</v>
      </c>
      <c r="F9" s="546">
        <f>'user page'!I26*$I$2</f>
        <v>262.28898640575648</v>
      </c>
      <c r="G9" s="546">
        <f>'user page'!I27*$I$2</f>
        <v>286.11674020970514</v>
      </c>
      <c r="H9" s="546">
        <f>'user page'!I30*$I$2</f>
        <v>45.688020907533357</v>
      </c>
      <c r="I9" s="546"/>
      <c r="J9" s="546">
        <f>'user page'!I31*$I$2</f>
        <v>11176.532917267601</v>
      </c>
      <c r="K9" s="316"/>
      <c r="L9" s="316"/>
      <c r="M9" s="556"/>
      <c r="N9" s="556"/>
      <c r="O9" s="556"/>
      <c r="P9" s="322" t="str">
        <f t="shared" si="0"/>
        <v>Scenario B: metro-connected (3)</v>
      </c>
      <c r="Q9" s="188">
        <f t="shared" si="1"/>
        <v>331.87863181508789</v>
      </c>
      <c r="R9" s="188">
        <f t="shared" si="2"/>
        <v>548.40572661546162</v>
      </c>
      <c r="S9" s="186">
        <f t="shared" si="3"/>
        <v>10250.560537929518</v>
      </c>
    </row>
    <row r="10" spans="1:26" s="545" customFormat="1" ht="12.5" x14ac:dyDescent="0.25">
      <c r="A10" s="489" t="str">
        <f>'Visions person'!K4</f>
        <v>Scenario C: the golden triangle (4)</v>
      </c>
      <c r="B10" s="546">
        <f>'user page'!$K24*$I$2</f>
        <v>167.80439325408835</v>
      </c>
      <c r="C10" s="546">
        <f>'user page'!$K25*$I$2</f>
        <v>110.30810424359603</v>
      </c>
      <c r="D10" s="546">
        <f>'user page'!$K28*$I$2</f>
        <v>7242.7121986717384</v>
      </c>
      <c r="E10" s="546">
        <f>'user page'!$K29*$I$2</f>
        <v>3650.5990666420994</v>
      </c>
      <c r="F10" s="546">
        <f>'user page'!$K26*$I$2</f>
        <v>256.85433344404402</v>
      </c>
      <c r="G10" s="546">
        <f>'user page'!$K27*$I$2</f>
        <v>289.3270718296514</v>
      </c>
      <c r="H10" s="546">
        <f>'user page'!$K30*$I$2</f>
        <v>45.688020907533357</v>
      </c>
      <c r="I10" s="546"/>
      <c r="J10" s="546">
        <f>'user page'!$K31*$I$2</f>
        <v>11763.293188992751</v>
      </c>
      <c r="K10" s="316"/>
      <c r="L10" s="316"/>
      <c r="M10" s="556"/>
      <c r="N10" s="556"/>
      <c r="O10" s="556"/>
      <c r="P10" s="545" t="str">
        <f t="shared" si="0"/>
        <v>Scenario C: the golden triangle (4)</v>
      </c>
      <c r="Q10" s="188">
        <f t="shared" si="1"/>
        <v>278.11249749768439</v>
      </c>
      <c r="R10" s="188">
        <f t="shared" si="2"/>
        <v>546.18140527369542</v>
      </c>
      <c r="S10" s="186">
        <f t="shared" si="3"/>
        <v>10893.311265313838</v>
      </c>
    </row>
    <row r="11" spans="1:26" s="545" customFormat="1" ht="12.5" x14ac:dyDescent="0.25">
      <c r="A11" s="489" t="str">
        <f>'Visions person'!M4</f>
        <v>Scenario D: @home in town and country (5)</v>
      </c>
      <c r="B11" s="546">
        <f>'user page'!$M24*$I$2</f>
        <v>142.58605744227424</v>
      </c>
      <c r="C11" s="546">
        <f>'user page'!$M25*$I$2</f>
        <v>101.61569401981936</v>
      </c>
      <c r="D11" s="546">
        <f>'user page'!$M28*$I$2</f>
        <v>6158.5513198263079</v>
      </c>
      <c r="E11" s="546">
        <f>'user page'!$M29*$I$2</f>
        <v>3139.0288594158219</v>
      </c>
      <c r="F11" s="546">
        <f>'user page'!$M26*$I$2</f>
        <v>205.33209979820197</v>
      </c>
      <c r="G11" s="546">
        <f>'user page'!$M27*$I$2</f>
        <v>219.54827773394879</v>
      </c>
      <c r="H11" s="546">
        <f>'user page'!$M30*$I$2</f>
        <v>45.688020907533357</v>
      </c>
      <c r="I11" s="546"/>
      <c r="J11" s="546">
        <f>'user page'!$M31*$I$2</f>
        <v>10012.350329143908</v>
      </c>
      <c r="K11" s="316"/>
      <c r="L11" s="316"/>
      <c r="M11" s="556"/>
      <c r="N11" s="556"/>
      <c r="O11" s="556"/>
      <c r="P11" s="545" t="str">
        <f t="shared" si="0"/>
        <v>Scenario D: @home in town and country (5)</v>
      </c>
      <c r="Q11" s="188">
        <f t="shared" si="1"/>
        <v>244.2017514620936</v>
      </c>
      <c r="R11" s="188">
        <f t="shared" si="2"/>
        <v>424.88037753215076</v>
      </c>
      <c r="S11" s="186">
        <f t="shared" si="3"/>
        <v>9297.5801792421298</v>
      </c>
    </row>
    <row r="12" spans="1:26" ht="12.5" x14ac:dyDescent="0.25">
      <c r="A12" s="493" t="str">
        <f>'Visions person'!O4</f>
        <v>What if (6)</v>
      </c>
      <c r="B12" s="604">
        <f>'user page'!O24*$I$2</f>
        <v>161.83626524010026</v>
      </c>
      <c r="C12" s="604">
        <f>'user page'!O25*$I$2</f>
        <v>62.652067896699471</v>
      </c>
      <c r="D12" s="604">
        <f>'user page'!O28*$I$2</f>
        <v>6650.3765298123171</v>
      </c>
      <c r="E12" s="604">
        <f>'user page'!O29*$I$2</f>
        <v>3745.0216563393938</v>
      </c>
      <c r="F12" s="604">
        <f>'user page'!O26*$I$2</f>
        <v>478.10770100266984</v>
      </c>
      <c r="G12" s="604">
        <f>'user page'!O27*$I$2</f>
        <v>196.46934111815278</v>
      </c>
      <c r="H12" s="604">
        <f>'user page'!O30*$I$2</f>
        <v>45.688020907533357</v>
      </c>
      <c r="I12" s="604"/>
      <c r="J12" s="604">
        <f>'user page'!O31*$I$2</f>
        <v>11340.151582316867</v>
      </c>
      <c r="K12" s="316"/>
      <c r="L12" s="316"/>
      <c r="M12" s="556"/>
      <c r="N12" s="556"/>
      <c r="O12" s="556"/>
      <c r="P12" s="266" t="str">
        <f t="shared" si="0"/>
        <v>What if (6)</v>
      </c>
      <c r="Q12" s="494">
        <f t="shared" si="1"/>
        <v>224.48833313679972</v>
      </c>
      <c r="R12" s="494">
        <f t="shared" si="2"/>
        <v>674.57704212082263</v>
      </c>
      <c r="S12" s="317">
        <f t="shared" si="3"/>
        <v>10395.398186151711</v>
      </c>
      <c r="T12" s="323"/>
    </row>
    <row r="13" spans="1:26" s="545" customFormat="1" x14ac:dyDescent="0.3">
      <c r="B13" s="397"/>
      <c r="C13" s="397"/>
      <c r="D13" s="316"/>
      <c r="E13" s="316"/>
      <c r="F13" s="397"/>
      <c r="G13" s="316"/>
      <c r="H13" s="397"/>
      <c r="I13" s="316"/>
      <c r="J13" s="316"/>
      <c r="K13" s="554"/>
      <c r="L13" s="316"/>
      <c r="M13" s="551"/>
      <c r="N13" s="316"/>
      <c r="O13" s="316"/>
      <c r="P13" s="263"/>
      <c r="Q13" s="397"/>
      <c r="R13" s="397"/>
      <c r="S13" s="316"/>
      <c r="T13" s="323"/>
    </row>
    <row r="14" spans="1:26" s="322" customFormat="1" x14ac:dyDescent="0.3">
      <c r="A14" s="501"/>
      <c r="B14" s="397"/>
      <c r="C14" s="397"/>
      <c r="D14" s="316"/>
      <c r="E14" s="316"/>
      <c r="F14" s="397"/>
      <c r="G14" s="316"/>
      <c r="H14" s="397"/>
      <c r="I14" s="316"/>
      <c r="J14" s="316"/>
      <c r="K14" s="316"/>
      <c r="L14" s="316"/>
      <c r="M14" s="551"/>
      <c r="N14" s="316"/>
      <c r="O14" s="316"/>
      <c r="P14" s="263"/>
      <c r="Q14" s="397"/>
      <c r="R14" s="397"/>
      <c r="S14" s="316"/>
      <c r="T14" s="323"/>
    </row>
    <row r="15" spans="1:26" s="322" customFormat="1" ht="12.75" customHeight="1" x14ac:dyDescent="0.25">
      <c r="A15" s="948" t="s">
        <v>313</v>
      </c>
      <c r="B15" s="948"/>
      <c r="C15" s="948"/>
      <c r="D15" s="948"/>
      <c r="E15" s="948"/>
      <c r="F15" s="948"/>
      <c r="G15" s="948"/>
      <c r="H15" s="948"/>
      <c r="I15" s="948"/>
      <c r="J15" s="948"/>
      <c r="K15" s="948"/>
      <c r="L15" s="948"/>
      <c r="M15" s="948"/>
      <c r="N15" s="949"/>
      <c r="O15" s="545"/>
      <c r="P15" s="944" t="s">
        <v>314</v>
      </c>
      <c r="Q15" s="945"/>
      <c r="R15" s="945"/>
      <c r="S15" s="945"/>
      <c r="T15" s="323"/>
    </row>
    <row r="16" spans="1:26" ht="12.75" customHeight="1" x14ac:dyDescent="0.25">
      <c r="A16" s="950"/>
      <c r="B16" s="950"/>
      <c r="C16" s="950"/>
      <c r="D16" s="950"/>
      <c r="E16" s="950"/>
      <c r="F16" s="950"/>
      <c r="G16" s="950"/>
      <c r="H16" s="950"/>
      <c r="I16" s="950"/>
      <c r="J16" s="950"/>
      <c r="K16" s="950"/>
      <c r="L16" s="950"/>
      <c r="M16" s="950"/>
      <c r="N16" s="951"/>
      <c r="P16" s="946"/>
      <c r="Q16" s="947"/>
      <c r="R16" s="947"/>
      <c r="S16" s="947"/>
    </row>
    <row r="17" spans="16:24" x14ac:dyDescent="0.3">
      <c r="P17" s="500"/>
    </row>
    <row r="18" spans="16:24" x14ac:dyDescent="0.3">
      <c r="P18" s="394"/>
      <c r="X18" t="s">
        <v>310</v>
      </c>
    </row>
    <row r="19" spans="16:24" x14ac:dyDescent="0.3">
      <c r="P19" s="394"/>
    </row>
    <row r="20" spans="16:24" x14ac:dyDescent="0.3">
      <c r="P20" s="394"/>
    </row>
    <row r="21" spans="16:24" x14ac:dyDescent="0.3">
      <c r="P21" s="394"/>
    </row>
    <row r="22" spans="16:24" x14ac:dyDescent="0.3">
      <c r="P22" s="394"/>
    </row>
    <row r="23" spans="16:24" x14ac:dyDescent="0.3">
      <c r="P23" s="394"/>
    </row>
    <row r="24" spans="16:24" x14ac:dyDescent="0.3">
      <c r="P24" s="394"/>
    </row>
    <row r="25" spans="16:24" x14ac:dyDescent="0.3">
      <c r="P25" s="394"/>
    </row>
    <row r="26" spans="16:24" x14ac:dyDescent="0.3">
      <c r="P26" s="394"/>
    </row>
    <row r="27" spans="16:24" x14ac:dyDescent="0.3">
      <c r="P27" s="394"/>
    </row>
    <row r="28" spans="16:24" x14ac:dyDescent="0.3">
      <c r="P28" s="394"/>
    </row>
    <row r="29" spans="16:24" x14ac:dyDescent="0.3">
      <c r="P29" s="394"/>
    </row>
    <row r="30" spans="16:24" x14ac:dyDescent="0.3">
      <c r="P30" s="394"/>
    </row>
    <row r="31" spans="16:24" x14ac:dyDescent="0.3">
      <c r="P31" s="394"/>
    </row>
    <row r="32" spans="16:24" x14ac:dyDescent="0.3">
      <c r="P32" s="394"/>
    </row>
    <row r="33" spans="16:18" x14ac:dyDescent="0.3">
      <c r="P33" s="394"/>
    </row>
    <row r="34" spans="16:18" x14ac:dyDescent="0.3">
      <c r="P34" s="394"/>
    </row>
    <row r="35" spans="16:18" x14ac:dyDescent="0.3">
      <c r="P35" s="394"/>
    </row>
    <row r="36" spans="16:18" x14ac:dyDescent="0.3">
      <c r="P36" s="394"/>
    </row>
    <row r="37" spans="16:18" x14ac:dyDescent="0.3">
      <c r="P37" s="394"/>
    </row>
    <row r="38" spans="16:18" x14ac:dyDescent="0.3">
      <c r="P38" s="394"/>
    </row>
    <row r="39" spans="16:18" x14ac:dyDescent="0.3">
      <c r="P39" s="394"/>
    </row>
    <row r="40" spans="16:18" x14ac:dyDescent="0.3">
      <c r="P40" s="394"/>
    </row>
    <row r="41" spans="16:18" x14ac:dyDescent="0.3">
      <c r="P41" s="394"/>
    </row>
    <row r="42" spans="16:18" x14ac:dyDescent="0.3">
      <c r="P42" s="394"/>
    </row>
    <row r="43" spans="16:18" x14ac:dyDescent="0.3">
      <c r="P43" s="394"/>
    </row>
    <row r="44" spans="16:18" x14ac:dyDescent="0.3">
      <c r="P44" s="394"/>
    </row>
    <row r="45" spans="16:18" x14ac:dyDescent="0.3">
      <c r="P45" s="394"/>
    </row>
    <row r="46" spans="16:18" x14ac:dyDescent="0.3">
      <c r="P46" s="394"/>
      <c r="R46">
        <v>1</v>
      </c>
    </row>
    <row r="47" spans="16:18" x14ac:dyDescent="0.3">
      <c r="P47" s="394"/>
    </row>
    <row r="48" spans="16:18" x14ac:dyDescent="0.3">
      <c r="P48" s="394"/>
    </row>
    <row r="49" spans="9:16" x14ac:dyDescent="0.3">
      <c r="I49" s="322"/>
      <c r="P49" s="394"/>
    </row>
    <row r="50" spans="9:16" x14ac:dyDescent="0.3">
      <c r="I50" s="496"/>
      <c r="N50" s="497"/>
      <c r="O50" s="497"/>
      <c r="P50" s="394"/>
    </row>
    <row r="51" spans="9:16" x14ac:dyDescent="0.3">
      <c r="I51" s="496"/>
      <c r="N51" s="497"/>
      <c r="O51" s="497"/>
      <c r="P51" s="394"/>
    </row>
    <row r="52" spans="9:16" x14ac:dyDescent="0.3">
      <c r="I52" s="496"/>
      <c r="N52" s="497"/>
      <c r="O52" s="497"/>
      <c r="P52" s="394"/>
    </row>
    <row r="53" spans="9:16" x14ac:dyDescent="0.3">
      <c r="I53" s="496"/>
      <c r="N53" s="497"/>
      <c r="O53" s="497"/>
      <c r="P53" s="394"/>
    </row>
    <row r="54" spans="9:16" x14ac:dyDescent="0.3">
      <c r="I54" s="496"/>
      <c r="N54" s="497"/>
      <c r="O54" s="497"/>
      <c r="P54" s="394"/>
    </row>
    <row r="55" spans="9:16" x14ac:dyDescent="0.3">
      <c r="I55" s="496"/>
      <c r="N55" s="497"/>
      <c r="O55" s="497"/>
      <c r="P55" s="394"/>
    </row>
    <row r="56" spans="9:16" x14ac:dyDescent="0.3">
      <c r="P56" s="394"/>
    </row>
    <row r="57" spans="9:16" x14ac:dyDescent="0.3">
      <c r="P57" s="394"/>
    </row>
    <row r="58" spans="9:16" x14ac:dyDescent="0.3">
      <c r="P58" s="394"/>
    </row>
    <row r="59" spans="9:16" x14ac:dyDescent="0.3">
      <c r="P59" s="394"/>
    </row>
    <row r="60" spans="9:16" x14ac:dyDescent="0.3">
      <c r="P60" s="394"/>
    </row>
    <row r="61" spans="9:16" x14ac:dyDescent="0.3">
      <c r="P61" s="394"/>
    </row>
    <row r="62" spans="9:16" x14ac:dyDescent="0.3">
      <c r="P62" s="394"/>
    </row>
    <row r="63" spans="9:16" x14ac:dyDescent="0.3">
      <c r="P63" s="394"/>
    </row>
    <row r="64" spans="9:16" x14ac:dyDescent="0.3">
      <c r="P64" s="394"/>
    </row>
    <row r="65" spans="1:19" x14ac:dyDescent="0.3">
      <c r="P65" s="394"/>
    </row>
    <row r="66" spans="1:19" x14ac:dyDescent="0.3">
      <c r="P66" s="394"/>
    </row>
    <row r="67" spans="1:19" x14ac:dyDescent="0.3">
      <c r="P67" s="394"/>
    </row>
    <row r="68" spans="1:19" x14ac:dyDescent="0.3">
      <c r="P68" s="394"/>
    </row>
    <row r="69" spans="1:19" x14ac:dyDescent="0.3">
      <c r="P69" s="394"/>
    </row>
    <row r="70" spans="1:19" x14ac:dyDescent="0.3">
      <c r="P70" s="394"/>
    </row>
    <row r="71" spans="1:19" x14ac:dyDescent="0.3">
      <c r="P71" s="394"/>
    </row>
    <row r="72" spans="1:19" x14ac:dyDescent="0.3">
      <c r="P72" s="394"/>
    </row>
    <row r="73" spans="1:19" x14ac:dyDescent="0.3">
      <c r="P73" s="394"/>
    </row>
    <row r="74" spans="1:19" x14ac:dyDescent="0.3">
      <c r="P74" s="394"/>
    </row>
    <row r="75" spans="1:19" x14ac:dyDescent="0.3">
      <c r="P75" s="394"/>
    </row>
    <row r="76" spans="1:19" x14ac:dyDescent="0.3">
      <c r="P76" s="394"/>
    </row>
    <row r="77" spans="1:19" x14ac:dyDescent="0.3">
      <c r="P77" s="394"/>
    </row>
    <row r="78" spans="1:19" x14ac:dyDescent="0.3">
      <c r="A78" s="266"/>
      <c r="B78" s="266"/>
      <c r="C78" s="266"/>
      <c r="D78" s="266"/>
      <c r="E78" s="266"/>
      <c r="F78" s="266"/>
      <c r="G78" s="266"/>
      <c r="H78" s="266"/>
      <c r="I78" s="266"/>
      <c r="J78" s="266"/>
      <c r="K78" s="266"/>
      <c r="L78" s="266"/>
      <c r="M78" s="550"/>
      <c r="N78" s="266"/>
      <c r="O78" s="266"/>
      <c r="P78" s="502"/>
      <c r="Q78" s="266"/>
      <c r="R78" s="266"/>
      <c r="S78" s="266"/>
    </row>
  </sheetData>
  <mergeCells count="6">
    <mergeCell ref="P15:S16"/>
    <mergeCell ref="A15:N16"/>
    <mergeCell ref="K4:L4"/>
    <mergeCell ref="M4:N4"/>
    <mergeCell ref="K3:N3"/>
    <mergeCell ref="D4:E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1"/>
  <sheetViews>
    <sheetView topLeftCell="A72" zoomScale="90" zoomScaleNormal="90" workbookViewId="0">
      <selection activeCell="AE118" sqref="AE118"/>
    </sheetView>
  </sheetViews>
  <sheetFormatPr defaultColWidth="8.81640625" defaultRowHeight="12.5" x14ac:dyDescent="0.25"/>
  <cols>
    <col min="1" max="1" width="8.81640625" style="545"/>
    <col min="2" max="2" width="11" style="545" bestFit="1" customWidth="1"/>
    <col min="3" max="3" width="9.81640625" customWidth="1"/>
    <col min="4" max="4" width="9" customWidth="1"/>
    <col min="5" max="5" width="11" style="263" customWidth="1"/>
    <col min="6" max="6" width="8.81640625" customWidth="1"/>
    <col min="7" max="7" width="7.7265625" customWidth="1"/>
    <col min="8" max="8" width="10.1796875" customWidth="1"/>
    <col min="9" max="10" width="8.26953125" customWidth="1"/>
    <col min="11" max="11" width="8.7265625" customWidth="1"/>
    <col min="12" max="12" width="8.26953125" customWidth="1"/>
    <col min="13" max="13" width="9.453125" customWidth="1"/>
    <col min="14" max="14" width="7.26953125" customWidth="1"/>
    <col min="15" max="15" width="8.453125" customWidth="1"/>
    <col min="16" max="16" width="7" customWidth="1"/>
    <col min="17" max="17" width="8.453125" customWidth="1"/>
    <col min="18" max="18" width="6.81640625" customWidth="1"/>
    <col min="19" max="20" width="8.7265625" customWidth="1"/>
    <col min="21" max="21" width="6.7265625" customWidth="1"/>
    <col min="22" max="22" width="6.453125" customWidth="1"/>
    <col min="23" max="23" width="7.1796875" customWidth="1"/>
    <col min="24" max="24" width="6.453125" customWidth="1"/>
    <col min="25" max="25" width="7.26953125" customWidth="1"/>
    <col min="26" max="26" width="6.26953125" customWidth="1"/>
    <col min="27" max="27" width="8.7265625" customWidth="1"/>
    <col min="28" max="28" width="8.54296875" customWidth="1"/>
    <col min="30" max="30" width="9.26953125" customWidth="1"/>
    <col min="31" max="31" width="11.81640625" customWidth="1"/>
    <col min="32" max="32" width="8.1796875" customWidth="1"/>
    <col min="33" max="33" width="9" customWidth="1"/>
  </cols>
  <sheetData>
    <row r="1" spans="3:34" ht="33.75" customHeight="1" x14ac:dyDescent="0.35">
      <c r="C1" s="569" t="s">
        <v>344</v>
      </c>
      <c r="D1" s="568"/>
      <c r="E1" s="985" t="s">
        <v>71</v>
      </c>
      <c r="F1" s="986"/>
      <c r="G1" s="987" t="s">
        <v>69</v>
      </c>
      <c r="H1" s="988"/>
      <c r="I1" s="985" t="s">
        <v>146</v>
      </c>
      <c r="J1" s="986"/>
      <c r="K1" s="987" t="s">
        <v>148</v>
      </c>
      <c r="L1" s="988"/>
      <c r="M1" s="987" t="s">
        <v>29</v>
      </c>
      <c r="N1" s="988"/>
      <c r="O1" s="987" t="s">
        <v>31</v>
      </c>
      <c r="P1" s="988"/>
      <c r="Q1" s="987" t="s">
        <v>32</v>
      </c>
      <c r="R1" s="988"/>
      <c r="S1" s="985" t="s">
        <v>172</v>
      </c>
      <c r="T1" s="986"/>
      <c r="U1" s="987" t="s">
        <v>139</v>
      </c>
      <c r="V1" s="988"/>
      <c r="W1" s="985" t="s">
        <v>143</v>
      </c>
      <c r="X1" s="986"/>
      <c r="Y1" s="985" t="s">
        <v>144</v>
      </c>
      <c r="Z1" s="986"/>
      <c r="AA1" s="985" t="s">
        <v>145</v>
      </c>
      <c r="AB1" s="986"/>
      <c r="AC1" s="985" t="s">
        <v>70</v>
      </c>
      <c r="AD1" s="986"/>
      <c r="AE1" s="985" t="s">
        <v>154</v>
      </c>
      <c r="AF1" s="986"/>
      <c r="AG1" s="640" t="s">
        <v>68</v>
      </c>
    </row>
    <row r="2" spans="3:34" ht="27.75" customHeight="1" thickBot="1" x14ac:dyDescent="0.35">
      <c r="C2" s="123"/>
      <c r="D2" s="124"/>
      <c r="E2" s="236" t="s">
        <v>25</v>
      </c>
      <c r="F2" s="518" t="s">
        <v>26</v>
      </c>
      <c r="G2" s="122" t="s">
        <v>25</v>
      </c>
      <c r="H2" s="122" t="s">
        <v>26</v>
      </c>
      <c r="I2" s="122" t="s">
        <v>25</v>
      </c>
      <c r="J2" s="122" t="s">
        <v>26</v>
      </c>
      <c r="K2" s="122" t="s">
        <v>25</v>
      </c>
      <c r="L2" s="122" t="s">
        <v>26</v>
      </c>
      <c r="M2" s="122" t="s">
        <v>25</v>
      </c>
      <c r="N2" s="122" t="s">
        <v>26</v>
      </c>
      <c r="O2" s="122" t="s">
        <v>25</v>
      </c>
      <c r="P2" s="122" t="s">
        <v>26</v>
      </c>
      <c r="Q2" s="122" t="s">
        <v>25</v>
      </c>
      <c r="R2" s="122" t="s">
        <v>26</v>
      </c>
      <c r="S2" s="122" t="s">
        <v>25</v>
      </c>
      <c r="T2" s="122" t="s">
        <v>26</v>
      </c>
      <c r="U2" s="122" t="s">
        <v>25</v>
      </c>
      <c r="V2" s="122" t="s">
        <v>26</v>
      </c>
      <c r="W2" s="122" t="s">
        <v>25</v>
      </c>
      <c r="X2" s="122" t="s">
        <v>26</v>
      </c>
      <c r="Y2" s="122" t="s">
        <v>25</v>
      </c>
      <c r="Z2" s="122" t="s">
        <v>26</v>
      </c>
      <c r="AA2" s="122" t="s">
        <v>25</v>
      </c>
      <c r="AB2" s="122" t="s">
        <v>26</v>
      </c>
      <c r="AC2" s="393" t="s">
        <v>25</v>
      </c>
      <c r="AD2" s="393" t="s">
        <v>26</v>
      </c>
      <c r="AE2" s="122" t="s">
        <v>25</v>
      </c>
      <c r="AF2" s="122" t="s">
        <v>26</v>
      </c>
      <c r="AG2" s="256" t="s">
        <v>164</v>
      </c>
    </row>
    <row r="3" spans="3:34" ht="20.25" customHeight="1" x14ac:dyDescent="0.3">
      <c r="C3" s="982" t="s">
        <v>78</v>
      </c>
      <c r="D3" s="225" t="s">
        <v>2</v>
      </c>
      <c r="E3" s="226">
        <f>'Breast cancer'!AP3</f>
        <v>0</v>
      </c>
      <c r="F3" s="227">
        <f>'Breast cancer'!AP11</f>
        <v>0</v>
      </c>
      <c r="G3" s="226">
        <f>'Colon Cancer'!AP3</f>
        <v>0</v>
      </c>
      <c r="H3" s="227">
        <f>'Colon Cancer'!AP11</f>
        <v>0</v>
      </c>
      <c r="I3" s="226">
        <f>Stroke_air!AQ3</f>
        <v>0</v>
      </c>
      <c r="J3" s="227">
        <f>Stroke_air!AQ11</f>
        <v>0</v>
      </c>
      <c r="K3" s="226">
        <f>CVD_air!AQ3</f>
        <v>0</v>
      </c>
      <c r="L3" s="227">
        <f>CVD_air!AQ11</f>
        <v>0</v>
      </c>
      <c r="M3" s="226">
        <f>Depression!AP3</f>
        <v>0</v>
      </c>
      <c r="N3" s="227">
        <f>Depression!AP11</f>
        <v>0</v>
      </c>
      <c r="O3" s="226">
        <f>Dementia!AP3</f>
        <v>0</v>
      </c>
      <c r="P3" s="227">
        <f>Dementia!AP11</f>
        <v>0</v>
      </c>
      <c r="Q3" s="226">
        <f>Diabetes!AP3</f>
        <v>0</v>
      </c>
      <c r="R3" s="227">
        <f>Diabetes!AP11</f>
        <v>0</v>
      </c>
      <c r="S3" s="226">
        <f>HHD_air!AQ3</f>
        <v>0</v>
      </c>
      <c r="T3" s="227">
        <f>HHD_air!AQ11</f>
        <v>0</v>
      </c>
      <c r="U3" s="226"/>
      <c r="V3" s="227"/>
      <c r="W3" s="226">
        <f>'Acute Resp Infect'!H3</f>
        <v>0</v>
      </c>
      <c r="X3" s="227">
        <f>'Acute Resp Infect'!H11</f>
        <v>0</v>
      </c>
      <c r="Y3" s="226"/>
      <c r="Z3" s="227"/>
      <c r="AA3" s="226"/>
      <c r="AB3" s="391"/>
      <c r="AC3" s="120">
        <f>E3+G3+K3+M3+O3+Q3+U3+W3+Y3+AA3+I3+S3</f>
        <v>0</v>
      </c>
      <c r="AD3" s="121">
        <f>F3+H3+L3+N3+P3+R3+V3+X3+Z3+AB3+J3+T3</f>
        <v>0</v>
      </c>
      <c r="AE3" s="391">
        <f>'All-cause mort'!AQ3</f>
        <v>0</v>
      </c>
      <c r="AF3" s="227">
        <f>'All-cause mort'!AQ11</f>
        <v>0</v>
      </c>
    </row>
    <row r="4" spans="3:34" ht="15.75" customHeight="1" x14ac:dyDescent="0.3">
      <c r="C4" s="983"/>
      <c r="D4" s="33" t="s">
        <v>3</v>
      </c>
      <c r="E4" s="120">
        <f>'Breast cancer'!AP4</f>
        <v>0</v>
      </c>
      <c r="F4" s="121">
        <f>'Breast cancer'!AP12</f>
        <v>0</v>
      </c>
      <c r="G4" s="120">
        <f>'Colon Cancer'!AP4</f>
        <v>0</v>
      </c>
      <c r="H4" s="121">
        <f>'Colon Cancer'!AP12</f>
        <v>0</v>
      </c>
      <c r="I4" s="120">
        <f>Stroke_air!AQ4</f>
        <v>0</v>
      </c>
      <c r="J4" s="121">
        <f>Stroke_air!AQ12</f>
        <v>0</v>
      </c>
      <c r="K4" s="120">
        <f>CVD_air!AQ4</f>
        <v>0</v>
      </c>
      <c r="L4" s="121">
        <f>CVD_air!AQ12</f>
        <v>0</v>
      </c>
      <c r="M4" s="120">
        <f>Depression!AP4</f>
        <v>0</v>
      </c>
      <c r="N4" s="121">
        <f>Depression!AP12</f>
        <v>0</v>
      </c>
      <c r="O4" s="120">
        <f>Dementia!AP4</f>
        <v>0</v>
      </c>
      <c r="P4" s="121">
        <f>Dementia!AP12</f>
        <v>0</v>
      </c>
      <c r="Q4" s="120">
        <f>Diabetes!AP4</f>
        <v>0</v>
      </c>
      <c r="R4" s="121">
        <f>Diabetes!AP12</f>
        <v>0</v>
      </c>
      <c r="S4" s="120">
        <f>HHD_air!AQ4</f>
        <v>0</v>
      </c>
      <c r="T4" s="121">
        <f>HHD_air!AQ12</f>
        <v>0</v>
      </c>
      <c r="U4" s="120"/>
      <c r="V4" s="121"/>
      <c r="W4" s="120"/>
      <c r="X4" s="121"/>
      <c r="Y4" s="120"/>
      <c r="Z4" s="121"/>
      <c r="AA4" s="120"/>
      <c r="AB4" s="234"/>
      <c r="AC4" s="120">
        <f t="shared" ref="AC4:AC10" si="0">E4+G4+K4+M4+O4+Q4+U4+W4+Y4+AA4+I4+S4</f>
        <v>0</v>
      </c>
      <c r="AD4" s="121">
        <f t="shared" ref="AD4:AD10" si="1">F4+H4+L4+N4+P4+R4+V4+X4+Z4+AB4+J4+T4</f>
        <v>0</v>
      </c>
      <c r="AE4" s="234">
        <f>'All-cause mort'!AQ4</f>
        <v>0</v>
      </c>
      <c r="AF4" s="121">
        <f>'All-cause mort'!AQ12</f>
        <v>0</v>
      </c>
    </row>
    <row r="5" spans="3:34" ht="12.75" customHeight="1" x14ac:dyDescent="0.3">
      <c r="C5" s="983"/>
      <c r="D5" s="33" t="s">
        <v>4</v>
      </c>
      <c r="E5" s="120">
        <f>'Breast cancer'!AP5</f>
        <v>0</v>
      </c>
      <c r="F5" s="121">
        <f>'Breast cancer'!AP13</f>
        <v>8.0424869589162951E-4</v>
      </c>
      <c r="G5" s="120">
        <f>'Colon Cancer'!AP5</f>
        <v>6.7562631891632252E-4</v>
      </c>
      <c r="H5" s="121">
        <f>'Colon Cancer'!AP13</f>
        <v>4.502194637362178E-4</v>
      </c>
      <c r="I5" s="120">
        <f>Stroke_air!AQ5</f>
        <v>2.4201863123115563E-3</v>
      </c>
      <c r="J5" s="121">
        <f>Stroke_air!AQ13</f>
        <v>3.0427548087322842E-3</v>
      </c>
      <c r="K5" s="120">
        <f>CVD_air!AQ5</f>
        <v>4.5894854798450568E-3</v>
      </c>
      <c r="L5" s="121">
        <f>CVD_air!AQ13</f>
        <v>2.2257867775132834E-3</v>
      </c>
      <c r="M5" s="120">
        <f>Depression!AP5</f>
        <v>0</v>
      </c>
      <c r="N5" s="121">
        <f>Depression!AP13</f>
        <v>0</v>
      </c>
      <c r="O5" s="120">
        <f>Dementia!AP5</f>
        <v>0</v>
      </c>
      <c r="P5" s="121">
        <f>Dementia!AP13</f>
        <v>0</v>
      </c>
      <c r="Q5" s="120">
        <f>Diabetes!AP5</f>
        <v>1.6830853512940225E-3</v>
      </c>
      <c r="R5" s="121">
        <f>Diabetes!AP13</f>
        <v>1.165230170083964E-3</v>
      </c>
      <c r="S5" s="120">
        <f>HHD_air!AQ5</f>
        <v>9.0199743609584507E-5</v>
      </c>
      <c r="T5" s="121">
        <f>HHD_air!AQ13</f>
        <v>8.1985080406502334E-5</v>
      </c>
      <c r="U5" s="120">
        <f>'Lung Cancer'!H5</f>
        <v>0</v>
      </c>
      <c r="V5" s="121">
        <f>'Lung Cancer'!H13</f>
        <v>0</v>
      </c>
      <c r="W5" s="120"/>
      <c r="X5" s="121"/>
      <c r="Y5" s="120">
        <f>'Inflammatory HD'!H5</f>
        <v>0</v>
      </c>
      <c r="Z5" s="121">
        <f>'Inflammatory HD'!H13</f>
        <v>0</v>
      </c>
      <c r="AA5" s="120">
        <f>-'Resp diseases'!H5</f>
        <v>0</v>
      </c>
      <c r="AB5" s="234">
        <f>'Resp diseases'!H13</f>
        <v>0</v>
      </c>
      <c r="AC5" s="120">
        <f t="shared" si="0"/>
        <v>9.4585832059765427E-3</v>
      </c>
      <c r="AD5" s="121">
        <f t="shared" si="1"/>
        <v>7.7702249963638812E-3</v>
      </c>
      <c r="AE5" s="234">
        <f>'All-cause mort'!AQ5</f>
        <v>8.6633176808277312E-2</v>
      </c>
      <c r="AF5" s="121">
        <f>'All-cause mort'!AQ13</f>
        <v>5.1958140030727407E-2</v>
      </c>
    </row>
    <row r="6" spans="3:34" ht="13.4" customHeight="1" x14ac:dyDescent="0.3">
      <c r="C6" s="983"/>
      <c r="D6" s="33" t="s">
        <v>5</v>
      </c>
      <c r="E6" s="120">
        <f>'Breast cancer'!AP6</f>
        <v>0</v>
      </c>
      <c r="F6" s="121">
        <f>'Breast cancer'!AP14</f>
        <v>1.2980513745233679E-2</v>
      </c>
      <c r="G6" s="120">
        <f>'Colon Cancer'!AP6</f>
        <v>1.7757669678037935E-3</v>
      </c>
      <c r="H6" s="121">
        <f>'Colon Cancer'!AP14</f>
        <v>3.4095056950183E-3</v>
      </c>
      <c r="I6" s="120">
        <f>Stroke_air!AQ6</f>
        <v>4.1788926062258369E-3</v>
      </c>
      <c r="J6" s="121">
        <f>Stroke_air!AQ14</f>
        <v>0.24614737676586396</v>
      </c>
      <c r="K6" s="120">
        <f>CVD_air!AQ6</f>
        <v>2.3084388666147149E-2</v>
      </c>
      <c r="L6" s="121">
        <f>CVD_air!AQ14</f>
        <v>0.2503285207536341</v>
      </c>
      <c r="M6" s="120">
        <f>Depression!AP6</f>
        <v>0</v>
      </c>
      <c r="N6" s="121">
        <f>Depression!AP14</f>
        <v>0</v>
      </c>
      <c r="O6" s="120">
        <f>Dementia!AP6</f>
        <v>5.7691296765781559E-7</v>
      </c>
      <c r="P6" s="121">
        <f>Dementia!AP14</f>
        <v>3.3516626234181193E-6</v>
      </c>
      <c r="Q6" s="120">
        <f>Diabetes!AP6</f>
        <v>2.3849468105507921E-3</v>
      </c>
      <c r="R6" s="121">
        <f>Diabetes!AP14</f>
        <v>6.540574034730906E-2</v>
      </c>
      <c r="S6" s="120">
        <f>HHD_air!AQ6</f>
        <v>4.4971842641561288E-4</v>
      </c>
      <c r="T6" s="121">
        <f>HHD_air!AQ14</f>
        <v>1.3751222948974434E-2</v>
      </c>
      <c r="U6" s="120">
        <f>'Lung Cancer'!H6</f>
        <v>0</v>
      </c>
      <c r="V6" s="121">
        <f>'Lung Cancer'!H14</f>
        <v>0</v>
      </c>
      <c r="W6" s="120"/>
      <c r="X6" s="121"/>
      <c r="Y6" s="120">
        <f>'Inflammatory HD'!H6</f>
        <v>0</v>
      </c>
      <c r="Z6" s="121">
        <f>'Inflammatory HD'!H14</f>
        <v>0</v>
      </c>
      <c r="AA6" s="120">
        <f>'Resp diseases'!H6</f>
        <v>0</v>
      </c>
      <c r="AB6" s="234">
        <f>'Resp diseases'!H14</f>
        <v>0</v>
      </c>
      <c r="AC6" s="120">
        <f t="shared" si="0"/>
        <v>3.1874290390110846E-2</v>
      </c>
      <c r="AD6" s="121">
        <f t="shared" si="1"/>
        <v>0.592026231918657</v>
      </c>
      <c r="AE6" s="234">
        <f>'All-cause mort'!AQ6</f>
        <v>4.1508171760710866E-2</v>
      </c>
      <c r="AF6" s="121">
        <f>'All-cause mort'!AQ14</f>
        <v>6.8999020974516156E-2</v>
      </c>
    </row>
    <row r="7" spans="3:34" ht="13.4" customHeight="1" x14ac:dyDescent="0.3">
      <c r="C7" s="983"/>
      <c r="D7" s="33" t="s">
        <v>6</v>
      </c>
      <c r="E7" s="120">
        <f>'Breast cancer'!AP7</f>
        <v>0</v>
      </c>
      <c r="F7" s="121">
        <f>'Breast cancer'!AP15</f>
        <v>5.2519958193016691E-2</v>
      </c>
      <c r="G7" s="120">
        <f>'Colon Cancer'!AP7</f>
        <v>6.495776373132145E-3</v>
      </c>
      <c r="H7" s="121">
        <f>'Colon Cancer'!AP15</f>
        <v>2.1319713511738669E-2</v>
      </c>
      <c r="I7" s="120">
        <f>Stroke_air!AQ7</f>
        <v>1.155825085068507E-2</v>
      </c>
      <c r="J7" s="121">
        <f>Stroke_air!AQ15</f>
        <v>6.7576186500639679E-2</v>
      </c>
      <c r="K7" s="120">
        <f>CVD_air!AQ7</f>
        <v>8.1387135644149566E-2</v>
      </c>
      <c r="L7" s="121">
        <f>CVD_air!AQ15</f>
        <v>0.1140363263208215</v>
      </c>
      <c r="M7" s="120">
        <f>Depression!AP7</f>
        <v>0</v>
      </c>
      <c r="N7" s="121">
        <f>Depression!AP15</f>
        <v>0</v>
      </c>
      <c r="O7" s="120">
        <f>Dementia!AP7</f>
        <v>3.2826926428397574E-4</v>
      </c>
      <c r="P7" s="121">
        <f>Dementia!AP15</f>
        <v>2.8545369062654702E-3</v>
      </c>
      <c r="Q7" s="120">
        <f>Diabetes!AP7</f>
        <v>8.9846980614831651E-3</v>
      </c>
      <c r="R7" s="121">
        <f>Diabetes!AP15</f>
        <v>2.6478812085117376E-2</v>
      </c>
      <c r="S7" s="120">
        <f>HHD_air!AQ7</f>
        <v>1.538043670468614E-3</v>
      </c>
      <c r="T7" s="121">
        <f>HHD_air!AQ15</f>
        <v>5.6691758749574106E-3</v>
      </c>
      <c r="U7" s="120">
        <f>'Lung Cancer'!H7</f>
        <v>0</v>
      </c>
      <c r="V7" s="121">
        <f>'Lung Cancer'!H15</f>
        <v>0</v>
      </c>
      <c r="W7" s="120"/>
      <c r="X7" s="121"/>
      <c r="Y7" s="120">
        <f>'Inflammatory HD'!H7</f>
        <v>0</v>
      </c>
      <c r="Z7" s="121">
        <f>'Inflammatory HD'!H15</f>
        <v>0</v>
      </c>
      <c r="AA7" s="120">
        <f>'Resp diseases'!H7</f>
        <v>0</v>
      </c>
      <c r="AB7" s="234">
        <f>'Resp diseases'!H15</f>
        <v>0</v>
      </c>
      <c r="AC7" s="120">
        <f t="shared" si="0"/>
        <v>0.11029217386420254</v>
      </c>
      <c r="AD7" s="121">
        <f t="shared" si="1"/>
        <v>0.2904547093925568</v>
      </c>
      <c r="AE7" s="234">
        <f>'All-cause mort'!AQ7</f>
        <v>6.0531147468623203E-2</v>
      </c>
      <c r="AF7" s="121">
        <f>'All-cause mort'!AQ15</f>
        <v>0.26593416607326503</v>
      </c>
    </row>
    <row r="8" spans="3:34" ht="13.4" customHeight="1" x14ac:dyDescent="0.3">
      <c r="C8" s="983"/>
      <c r="D8" s="33" t="s">
        <v>7</v>
      </c>
      <c r="E8" s="120">
        <f>'Breast cancer'!AP8</f>
        <v>0</v>
      </c>
      <c r="F8" s="121">
        <f>'Breast cancer'!AP16</f>
        <v>9.6955318015091052E-2</v>
      </c>
      <c r="G8" s="120">
        <f>'Colon Cancer'!AP8</f>
        <v>0.11557652683127628</v>
      </c>
      <c r="H8" s="121">
        <f>'Colon Cancer'!AP16</f>
        <v>8.5506030695967183E-2</v>
      </c>
      <c r="I8" s="120">
        <f>Stroke_air!AQ8</f>
        <v>0.19751632645112593</v>
      </c>
      <c r="J8" s="121">
        <f>Stroke_air!AQ16</f>
        <v>0.16045343075476382</v>
      </c>
      <c r="K8" s="120">
        <f>CVD_air!AQ8</f>
        <v>1.0321593130799869</v>
      </c>
      <c r="L8" s="121">
        <f>CVD_air!AQ16</f>
        <v>0.36784803572601277</v>
      </c>
      <c r="M8" s="120">
        <f>Depression!AP8</f>
        <v>0</v>
      </c>
      <c r="N8" s="121">
        <f>Depression!AP16</f>
        <v>0</v>
      </c>
      <c r="O8" s="120">
        <f>Dementia!AP8</f>
        <v>2.8438849781176501E-2</v>
      </c>
      <c r="P8" s="121">
        <f>Dementia!AP16</f>
        <v>4.637691947976208E-2</v>
      </c>
      <c r="Q8" s="120">
        <f>Diabetes!AP8</f>
        <v>0.1240024568036624</v>
      </c>
      <c r="R8" s="121">
        <f>Diabetes!AP16</f>
        <v>7.2870661206398069E-2</v>
      </c>
      <c r="S8" s="120">
        <f>HHD_air!AQ8</f>
        <v>1.8146297778316889E-2</v>
      </c>
      <c r="T8" s="121">
        <f>HHD_air!AQ16</f>
        <v>1.6500935664589544E-2</v>
      </c>
      <c r="U8" s="120">
        <f>'Lung Cancer'!H8</f>
        <v>0</v>
      </c>
      <c r="V8" s="121">
        <f>'Lung Cancer'!H16</f>
        <v>0</v>
      </c>
      <c r="W8" s="120"/>
      <c r="X8" s="121"/>
      <c r="Y8" s="120">
        <f>'Inflammatory HD'!H8</f>
        <v>0</v>
      </c>
      <c r="Z8" s="121">
        <f>'Inflammatory HD'!H16</f>
        <v>0</v>
      </c>
      <c r="AA8" s="120">
        <f>'Resp diseases'!H8</f>
        <v>0</v>
      </c>
      <c r="AB8" s="234">
        <f>'Resp diseases'!H16</f>
        <v>0</v>
      </c>
      <c r="AC8" s="120">
        <f t="shared" si="0"/>
        <v>1.5158397707255449</v>
      </c>
      <c r="AD8" s="121">
        <f t="shared" si="1"/>
        <v>0.84651133154258451</v>
      </c>
      <c r="AE8" s="234">
        <f>'All-cause mort'!AQ8</f>
        <v>0.88577814995539939</v>
      </c>
      <c r="AF8" s="121">
        <f>'All-cause mort'!AQ16</f>
        <v>1.1702965786867026</v>
      </c>
    </row>
    <row r="9" spans="3:34" ht="13.4" customHeight="1" x14ac:dyDescent="0.3">
      <c r="C9" s="983"/>
      <c r="D9" s="33" t="s">
        <v>8</v>
      </c>
      <c r="E9" s="120">
        <f>'Breast cancer'!AP9</f>
        <v>0</v>
      </c>
      <c r="F9" s="121">
        <f>'Breast cancer'!AP17</f>
        <v>9.0733639530146348E-2</v>
      </c>
      <c r="G9" s="120">
        <f>'Colon Cancer'!AP9</f>
        <v>0.26988676019036006</v>
      </c>
      <c r="H9" s="121">
        <f>'Colon Cancer'!AP17</f>
        <v>0.13431099313543626</v>
      </c>
      <c r="I9" s="120">
        <f>Stroke_air!AQ9</f>
        <v>0.44192138363877831</v>
      </c>
      <c r="J9" s="121">
        <f>Stroke_air!AQ17</f>
        <v>0.20910835298386843</v>
      </c>
      <c r="K9" s="120">
        <f>CVD_air!AQ9</f>
        <v>1.4808630283151274</v>
      </c>
      <c r="L9" s="121">
        <f>CVD_air!AQ17</f>
        <v>0.40406988148882306</v>
      </c>
      <c r="M9" s="120">
        <f>Depression!AP9</f>
        <v>0</v>
      </c>
      <c r="N9" s="121">
        <f>Depression!AP17</f>
        <v>0</v>
      </c>
      <c r="O9" s="120">
        <f>Dementia!AP9</f>
        <v>0.24148963311599303</v>
      </c>
      <c r="P9" s="121">
        <f>Dementia!AP17</f>
        <v>0.24389710737889558</v>
      </c>
      <c r="Q9" s="120">
        <f>Diabetes!AP9</f>
        <v>0.1745829344909744</v>
      </c>
      <c r="R9" s="121">
        <f>Diabetes!AP17</f>
        <v>5.4029168639136316E-2</v>
      </c>
      <c r="S9" s="120">
        <f>HHD_air!AQ9</f>
        <v>3.522474299946543E-2</v>
      </c>
      <c r="T9" s="121">
        <f>HHD_air!AQ17</f>
        <v>1.66330574607092E-2</v>
      </c>
      <c r="U9" s="120">
        <f>'Lung Cancer'!H9</f>
        <v>0</v>
      </c>
      <c r="V9" s="121">
        <f>'Lung Cancer'!H17</f>
        <v>0</v>
      </c>
      <c r="W9" s="120"/>
      <c r="X9" s="121"/>
      <c r="Y9" s="120">
        <f>'Inflammatory HD'!H9</f>
        <v>0</v>
      </c>
      <c r="Z9" s="121">
        <f>'Inflammatory HD'!H17</f>
        <v>0</v>
      </c>
      <c r="AA9" s="120">
        <f>'Resp diseases'!H9</f>
        <v>0</v>
      </c>
      <c r="AB9" s="234">
        <f>'Resp diseases'!H17</f>
        <v>0</v>
      </c>
      <c r="AC9" s="120">
        <f t="shared" si="0"/>
        <v>2.6439684827506986</v>
      </c>
      <c r="AD9" s="121">
        <f t="shared" si="1"/>
        <v>1.1527822006170152</v>
      </c>
      <c r="AE9" s="234">
        <f>'All-cause mort'!AQ9</f>
        <v>3.4665037501767983</v>
      </c>
      <c r="AF9" s="121">
        <f>'All-cause mort'!AQ17</f>
        <v>2.8566681231446864</v>
      </c>
    </row>
    <row r="10" spans="3:34" ht="13.4" customHeight="1" x14ac:dyDescent="0.3">
      <c r="C10" s="983"/>
      <c r="D10" s="34" t="s">
        <v>9</v>
      </c>
      <c r="E10" s="220">
        <f>'Breast cancer'!AP10</f>
        <v>0</v>
      </c>
      <c r="F10" s="221">
        <f>'Breast cancer'!AP18</f>
        <v>6.6298174483371497E-2</v>
      </c>
      <c r="G10" s="220">
        <f>'Colon Cancer'!AP10</f>
        <v>0.24869068779154446</v>
      </c>
      <c r="H10" s="221">
        <f>'Colon Cancer'!AP18</f>
        <v>0.13245984976080649</v>
      </c>
      <c r="I10" s="220">
        <f>Stroke_air!AQ10</f>
        <v>0.59902997716355344</v>
      </c>
      <c r="J10" s="221">
        <f>Stroke_air!AQ18</f>
        <v>0.98498119087622626</v>
      </c>
      <c r="K10" s="220">
        <f>CVD_air!AQ10</f>
        <v>1.5844950081349225</v>
      </c>
      <c r="L10" s="221">
        <f>CVD_air!AQ18</f>
        <v>1.6072730906114998</v>
      </c>
      <c r="M10" s="220">
        <f>Depression!AP10</f>
        <v>0</v>
      </c>
      <c r="N10" s="221">
        <f>Depression!AP18</f>
        <v>0</v>
      </c>
      <c r="O10" s="220">
        <f>Dementia!AP10</f>
        <v>1.2677830216629786</v>
      </c>
      <c r="P10" s="221">
        <f>Dementia!AP18</f>
        <v>1.1448722976418821</v>
      </c>
      <c r="Q10" s="220">
        <f>Diabetes!AP10</f>
        <v>0.12881697528499814</v>
      </c>
      <c r="R10" s="221">
        <f>Diabetes!AP18</f>
        <v>0.12779684443248129</v>
      </c>
      <c r="S10" s="220">
        <f>HHD_air!AQ10</f>
        <v>6.0298352020776491E-2</v>
      </c>
      <c r="T10" s="221">
        <f>HHD_air!AQ18</f>
        <v>0.12814000324537744</v>
      </c>
      <c r="U10" s="220">
        <f>'Lung Cancer'!H10</f>
        <v>0</v>
      </c>
      <c r="V10" s="221">
        <f>'Lung Cancer'!H18</f>
        <v>0</v>
      </c>
      <c r="W10" s="220"/>
      <c r="X10" s="221"/>
      <c r="Y10" s="220">
        <f>'Inflammatory HD'!H10</f>
        <v>0</v>
      </c>
      <c r="Z10" s="221">
        <f>'Inflammatory HD'!H18</f>
        <v>0</v>
      </c>
      <c r="AA10" s="220">
        <f>'Resp diseases'!H10</f>
        <v>0</v>
      </c>
      <c r="AB10" s="392">
        <f>'Resp diseases'!H18</f>
        <v>0</v>
      </c>
      <c r="AC10" s="220">
        <f t="shared" si="0"/>
        <v>3.8891140220587737</v>
      </c>
      <c r="AD10" s="221">
        <f t="shared" si="1"/>
        <v>4.1918214510516449</v>
      </c>
      <c r="AE10" s="392">
        <f>'All-cause mort'!AQ10</f>
        <v>7.1817231629770504</v>
      </c>
      <c r="AF10" s="221">
        <f>'All-cause mort'!AQ18</f>
        <v>5.7139868460556045</v>
      </c>
    </row>
    <row r="11" spans="3:34" ht="13.4" customHeight="1" x14ac:dyDescent="0.3">
      <c r="C11" s="983"/>
      <c r="D11" s="995" t="s">
        <v>72</v>
      </c>
      <c r="E11" s="519">
        <f>SUM(E5:E10)</f>
        <v>0</v>
      </c>
      <c r="F11" s="222">
        <f t="shared" ref="F11:AF11" si="2">SUM(F5:F10)</f>
        <v>0.3202918526627509</v>
      </c>
      <c r="G11" s="223">
        <f t="shared" si="2"/>
        <v>0.64310114447303302</v>
      </c>
      <c r="H11" s="222">
        <f t="shared" si="2"/>
        <v>0.37745631226270315</v>
      </c>
      <c r="I11" s="222">
        <f t="shared" si="2"/>
        <v>1.2566250170226803</v>
      </c>
      <c r="J11" s="222">
        <f t="shared" si="2"/>
        <v>1.6713092926900943</v>
      </c>
      <c r="K11" s="223">
        <f t="shared" si="2"/>
        <v>4.2065783593201784</v>
      </c>
      <c r="L11" s="222">
        <f t="shared" si="2"/>
        <v>2.7457816416783043</v>
      </c>
      <c r="M11" s="223">
        <f t="shared" si="2"/>
        <v>0</v>
      </c>
      <c r="N11" s="222">
        <f t="shared" si="2"/>
        <v>0</v>
      </c>
      <c r="O11" s="223">
        <f t="shared" si="2"/>
        <v>1.5380403507373999</v>
      </c>
      <c r="P11" s="222">
        <f t="shared" si="2"/>
        <v>1.4380042130694286</v>
      </c>
      <c r="Q11" s="223">
        <f t="shared" si="2"/>
        <v>0.44045509680296291</v>
      </c>
      <c r="R11" s="222">
        <f t="shared" si="2"/>
        <v>0.34774645688052608</v>
      </c>
      <c r="S11" s="223">
        <f t="shared" si="2"/>
        <v>0.11574735463905261</v>
      </c>
      <c r="T11" s="222">
        <f t="shared" si="2"/>
        <v>0.18077638027501453</v>
      </c>
      <c r="U11" s="223">
        <f t="shared" si="2"/>
        <v>0</v>
      </c>
      <c r="V11" s="222">
        <f t="shared" si="2"/>
        <v>0</v>
      </c>
      <c r="W11" s="223">
        <f t="shared" si="2"/>
        <v>0</v>
      </c>
      <c r="X11" s="222">
        <f t="shared" si="2"/>
        <v>0</v>
      </c>
      <c r="Y11" s="223">
        <f t="shared" si="2"/>
        <v>0</v>
      </c>
      <c r="Z11" s="222">
        <f t="shared" si="2"/>
        <v>0</v>
      </c>
      <c r="AA11" s="223">
        <f t="shared" si="2"/>
        <v>0</v>
      </c>
      <c r="AB11" s="222">
        <f t="shared" si="2"/>
        <v>0</v>
      </c>
      <c r="AC11" s="223">
        <f t="shared" si="2"/>
        <v>8.2005473229953072</v>
      </c>
      <c r="AD11" s="270">
        <f t="shared" si="2"/>
        <v>7.0813661495188223</v>
      </c>
      <c r="AE11" s="224">
        <f t="shared" si="2"/>
        <v>11.722677559146859</v>
      </c>
      <c r="AF11" s="235">
        <f t="shared" si="2"/>
        <v>10.127842874965502</v>
      </c>
      <c r="AG11" s="232">
        <f>AC11+AD11</f>
        <v>15.28191347251413</v>
      </c>
      <c r="AH11" s="567">
        <f>AE11+AF11</f>
        <v>21.850520434112362</v>
      </c>
    </row>
    <row r="12" spans="3:34" ht="13.4" customHeight="1" thickBot="1" x14ac:dyDescent="0.4">
      <c r="C12" s="984"/>
      <c r="D12" s="996"/>
      <c r="E12" s="981">
        <v>0.03</v>
      </c>
      <c r="F12" s="966"/>
      <c r="G12" s="981">
        <f>'Colon Cancer'!AP20</f>
        <v>6.5540227880196266E-4</v>
      </c>
      <c r="H12" s="966"/>
      <c r="I12" s="981">
        <f>Stroke_air!AQ20</f>
        <v>1.0095384135412988E-3</v>
      </c>
      <c r="J12" s="966"/>
      <c r="K12" s="981">
        <f>CVD_air!AQ20</f>
        <v>1.0315867570894707E-3</v>
      </c>
      <c r="L12" s="966"/>
      <c r="M12" s="981">
        <f>IFERROR(Depression!AP20,0)</f>
        <v>0</v>
      </c>
      <c r="N12" s="966"/>
      <c r="O12" s="981">
        <f>Dementia!AP20</f>
        <v>1.119290616987691E-3</v>
      </c>
      <c r="P12" s="966"/>
      <c r="Q12" s="981">
        <f>Diabetes!AP20</f>
        <v>1.0789727800285104E-3</v>
      </c>
      <c r="R12" s="966"/>
      <c r="S12" s="981">
        <f>HHD_air!AQ20</f>
        <v>9.2681973496211629E-4</v>
      </c>
      <c r="T12" s="966"/>
      <c r="U12" s="981">
        <f>'Lung Cancer'!L21</f>
        <v>0</v>
      </c>
      <c r="V12" s="966"/>
      <c r="W12" s="981">
        <f>'Acute Resp Infect'!H20</f>
        <v>0</v>
      </c>
      <c r="X12" s="966"/>
      <c r="Y12" s="981">
        <f>'Inflammatory HD'!L21</f>
        <v>0</v>
      </c>
      <c r="Z12" s="966"/>
      <c r="AA12" s="981">
        <f>'Resp diseases'!L21</f>
        <v>0</v>
      </c>
      <c r="AB12" s="966"/>
      <c r="AC12" s="963">
        <f>(AC11+AD11)/GBDNZ!E236</f>
        <v>4.5963777941389263E-4</v>
      </c>
      <c r="AD12" s="978"/>
      <c r="AE12" s="963">
        <f>(AE11+AF11)/GBDNZ!E236</f>
        <v>6.5720334756750828E-4</v>
      </c>
      <c r="AF12" s="964"/>
      <c r="AG12" s="232"/>
      <c r="AH12" s="781"/>
    </row>
    <row r="13" spans="3:34" ht="13.4" customHeight="1" x14ac:dyDescent="0.3">
      <c r="C13" s="989" t="s">
        <v>76</v>
      </c>
      <c r="D13" s="225" t="s">
        <v>2</v>
      </c>
      <c r="E13" s="120">
        <f>'Breast cancer'!AQ3</f>
        <v>0</v>
      </c>
      <c r="F13" s="121">
        <f>'Breast cancer'!AQ11</f>
        <v>0</v>
      </c>
      <c r="G13" s="120">
        <f>'Colon Cancer'!AQ3</f>
        <v>0</v>
      </c>
      <c r="H13" s="121">
        <f>'Colon Cancer'!AQ11</f>
        <v>0</v>
      </c>
      <c r="I13" s="234">
        <f>Stroke_air!AR3</f>
        <v>0</v>
      </c>
      <c r="J13" s="234">
        <f>Stroke_air!AR11</f>
        <v>0</v>
      </c>
      <c r="K13" s="120">
        <f>CVD_air!AR3</f>
        <v>0</v>
      </c>
      <c r="L13" s="121">
        <f>CVD_air!AR11</f>
        <v>0</v>
      </c>
      <c r="M13" s="120">
        <f>Depression!AQ3</f>
        <v>0</v>
      </c>
      <c r="N13" s="121">
        <f>Depression!AQ11</f>
        <v>0</v>
      </c>
      <c r="O13" s="120">
        <f>Dementia!AQ3</f>
        <v>0</v>
      </c>
      <c r="P13" s="121">
        <f>Dementia!AQ11</f>
        <v>0</v>
      </c>
      <c r="Q13" s="120">
        <f>Diabetes!AQ3</f>
        <v>0</v>
      </c>
      <c r="R13" s="121">
        <f>Diabetes!AQ11</f>
        <v>0</v>
      </c>
      <c r="S13" s="234">
        <f>HHD_air!AR3</f>
        <v>0</v>
      </c>
      <c r="T13" s="234">
        <f>HHD_air!AR11</f>
        <v>0</v>
      </c>
      <c r="U13" s="120"/>
      <c r="V13" s="121"/>
      <c r="W13" s="120">
        <f>'Acute Resp Infect'!I3</f>
        <v>0</v>
      </c>
      <c r="X13" s="121">
        <f>'Acute Resp Infect'!I11</f>
        <v>0</v>
      </c>
      <c r="Y13" s="120"/>
      <c r="Z13" s="121"/>
      <c r="AA13" s="120"/>
      <c r="AB13" s="234"/>
      <c r="AC13" s="120">
        <f>E13+G13+K13+M13+O13++Q13+U13+W13+Y13+AA13+I13+S13</f>
        <v>0</v>
      </c>
      <c r="AD13" s="121">
        <f>F13+H13+L13+N13+P13++R13+V13+X13+Z13+AB13+J13+T13</f>
        <v>0</v>
      </c>
      <c r="AE13" s="120">
        <f>'All-cause mort'!AR3</f>
        <v>0</v>
      </c>
      <c r="AF13" s="121">
        <f>'All-cause mort'!AR11</f>
        <v>0</v>
      </c>
      <c r="AG13" s="232"/>
    </row>
    <row r="14" spans="3:34" ht="13.4" customHeight="1" x14ac:dyDescent="0.3">
      <c r="C14" s="983"/>
      <c r="D14" s="33" t="s">
        <v>3</v>
      </c>
      <c r="E14" s="120">
        <f>'Breast cancer'!AQ4</f>
        <v>0</v>
      </c>
      <c r="F14" s="121">
        <f>'Breast cancer'!AQ12</f>
        <v>0</v>
      </c>
      <c r="G14" s="120">
        <f>'Colon Cancer'!AQ4</f>
        <v>0</v>
      </c>
      <c r="H14" s="121">
        <f>'Colon Cancer'!AQ12</f>
        <v>0</v>
      </c>
      <c r="I14" s="234">
        <f>Stroke_air!AR4</f>
        <v>0</v>
      </c>
      <c r="J14" s="234">
        <f>Stroke_air!AR12</f>
        <v>0</v>
      </c>
      <c r="K14" s="120">
        <f>CVD_air!AR4</f>
        <v>0</v>
      </c>
      <c r="L14" s="121">
        <f>CVD_air!AR12</f>
        <v>0</v>
      </c>
      <c r="M14" s="120">
        <f>Depression!AQ4</f>
        <v>0</v>
      </c>
      <c r="N14" s="121">
        <f>Depression!AQ12</f>
        <v>0</v>
      </c>
      <c r="O14" s="120">
        <f>Dementia!AQ4</f>
        <v>0</v>
      </c>
      <c r="P14" s="121">
        <f>Dementia!AQ12</f>
        <v>0</v>
      </c>
      <c r="Q14" s="120">
        <f>Diabetes!AQ4</f>
        <v>0</v>
      </c>
      <c r="R14" s="121">
        <f>Diabetes!AQ12</f>
        <v>0</v>
      </c>
      <c r="S14" s="234">
        <f>HHD_air!AR4</f>
        <v>0</v>
      </c>
      <c r="T14" s="234">
        <f>HHD_air!AR12</f>
        <v>0</v>
      </c>
      <c r="U14" s="120"/>
      <c r="V14" s="121"/>
      <c r="W14" s="120"/>
      <c r="X14" s="121"/>
      <c r="Y14" s="120"/>
      <c r="Z14" s="121"/>
      <c r="AA14" s="120"/>
      <c r="AB14" s="234"/>
      <c r="AC14" s="120">
        <f t="shared" ref="AC14:AC20" si="3">E14+G14+K14+M14+O14++Q14+U14+W14+Y14+AA14+I14+S14</f>
        <v>0</v>
      </c>
      <c r="AD14" s="121">
        <f t="shared" ref="AD14:AD20" si="4">F14+H14+L14+N14+P14++R14+V14+X14+Z14+AB14+J14+T14</f>
        <v>0</v>
      </c>
      <c r="AE14" s="120">
        <f>'All-cause mort'!AR4</f>
        <v>0</v>
      </c>
      <c r="AF14" s="121">
        <f>'All-cause mort'!AR12</f>
        <v>0</v>
      </c>
      <c r="AG14" s="232"/>
    </row>
    <row r="15" spans="3:34" ht="13.4" customHeight="1" x14ac:dyDescent="0.3">
      <c r="C15" s="983"/>
      <c r="D15" s="33" t="s">
        <v>4</v>
      </c>
      <c r="E15" s="120">
        <f>'Breast cancer'!AQ5</f>
        <v>0</v>
      </c>
      <c r="F15" s="121">
        <f>'Breast cancer'!AQ13</f>
        <v>4.884365103645294E-2</v>
      </c>
      <c r="G15" s="120">
        <f>'Colon Cancer'!AQ5</f>
        <v>4.1826954505385316E-2</v>
      </c>
      <c r="H15" s="121">
        <f>'Colon Cancer'!AQ13</f>
        <v>2.7745806351312297E-2</v>
      </c>
      <c r="I15" s="234">
        <f>Stroke_air!AR5</f>
        <v>0.15157085184369379</v>
      </c>
      <c r="J15" s="234">
        <f>Stroke_air!AR13</f>
        <v>0.19192617094793718</v>
      </c>
      <c r="K15" s="120">
        <f>CVD_air!AR5</f>
        <v>0.28380139134305438</v>
      </c>
      <c r="L15" s="121">
        <f>CVD_air!AR13</f>
        <v>0.13864455776494822</v>
      </c>
      <c r="M15" s="120">
        <f>Depression!AQ5</f>
        <v>0</v>
      </c>
      <c r="N15" s="121">
        <f>Depression!AQ13</f>
        <v>0</v>
      </c>
      <c r="O15" s="120">
        <f>Dementia!AQ5</f>
        <v>0</v>
      </c>
      <c r="P15" s="121">
        <f>Dementia!AQ13</f>
        <v>0</v>
      </c>
      <c r="Q15" s="120">
        <f>Diabetes!AQ5</f>
        <v>0.10396565898955146</v>
      </c>
      <c r="R15" s="121">
        <f>Diabetes!AQ13</f>
        <v>7.4726071031987473E-2</v>
      </c>
      <c r="S15" s="234">
        <f>HHD_air!AR5</f>
        <v>5.8448640632134952E-3</v>
      </c>
      <c r="T15" s="234">
        <f>HHD_air!AR13</f>
        <v>5.1654525379336569E-3</v>
      </c>
      <c r="U15" s="120">
        <f>-'Lung Cancer'!I5</f>
        <v>0</v>
      </c>
      <c r="V15" s="121">
        <f>'Lung Cancer'!I13</f>
        <v>0</v>
      </c>
      <c r="W15" s="120"/>
      <c r="X15" s="121"/>
      <c r="Y15" s="120">
        <f>'Inflammatory HD'!I5</f>
        <v>0</v>
      </c>
      <c r="Z15" s="121">
        <f>'Inflammatory HD'!I13</f>
        <v>0</v>
      </c>
      <c r="AA15" s="120">
        <f>-'Resp diseases'!I5</f>
        <v>0</v>
      </c>
      <c r="AB15" s="234">
        <f>'Resp diseases'!I13</f>
        <v>0</v>
      </c>
      <c r="AC15" s="120">
        <f t="shared" si="3"/>
        <v>0.58700972074489843</v>
      </c>
      <c r="AD15" s="121">
        <f t="shared" si="4"/>
        <v>0.48705170967057176</v>
      </c>
      <c r="AE15" s="120">
        <f>'All-cause mort'!AR5</f>
        <v>5.5750590168981944</v>
      </c>
      <c r="AF15" s="121">
        <f>'All-cause mort'!AR13</f>
        <v>3.3492569659201763</v>
      </c>
      <c r="AG15" s="232"/>
    </row>
    <row r="16" spans="3:34" ht="13.4" customHeight="1" x14ac:dyDescent="0.3">
      <c r="C16" s="983"/>
      <c r="D16" s="33" t="s">
        <v>5</v>
      </c>
      <c r="E16" s="120">
        <f>'Breast cancer'!AQ6</f>
        <v>0</v>
      </c>
      <c r="F16" s="121">
        <f>'Breast cancer'!AQ14</f>
        <v>0.61353870052835191</v>
      </c>
      <c r="G16" s="120">
        <f>'Colon Cancer'!AQ6</f>
        <v>8.4097672872687212E-2</v>
      </c>
      <c r="H16" s="121">
        <f>'Colon Cancer'!AQ14</f>
        <v>0.16126580579049232</v>
      </c>
      <c r="I16" s="234">
        <f>Stroke_air!AR6</f>
        <v>0.1987035971061033</v>
      </c>
      <c r="J16" s="234">
        <f>Stroke_air!AR14</f>
        <v>11.674712892104139</v>
      </c>
      <c r="K16" s="120">
        <f>CVD_air!AR6</f>
        <v>1.082264835133401</v>
      </c>
      <c r="L16" s="121">
        <f>CVD_air!AR14</f>
        <v>11.745463002377193</v>
      </c>
      <c r="M16" s="120">
        <f>Depression!AQ6</f>
        <v>0</v>
      </c>
      <c r="N16" s="121">
        <f>Depression!AQ14</f>
        <v>0</v>
      </c>
      <c r="O16" s="120">
        <f>Dementia!AQ6</f>
        <v>2.5747859826903696E-5</v>
      </c>
      <c r="P16" s="121">
        <f>Dementia!AQ14</f>
        <v>1.4948859792340147E-4</v>
      </c>
      <c r="Q16" s="120">
        <f>Diabetes!AQ6</f>
        <v>0.11371907622060462</v>
      </c>
      <c r="R16" s="121">
        <f>Diabetes!AQ14</f>
        <v>3.138373951088397</v>
      </c>
      <c r="S16" s="234">
        <f>HHD_air!AR6</f>
        <v>2.0961802273031793E-2</v>
      </c>
      <c r="T16" s="234">
        <f>HHD_air!AR14</f>
        <v>0.64231048247916256</v>
      </c>
      <c r="U16" s="120">
        <f>'Lung Cancer'!I6</f>
        <v>0</v>
      </c>
      <c r="V16" s="121">
        <f>'Lung Cancer'!I14</f>
        <v>0</v>
      </c>
      <c r="W16" s="120"/>
      <c r="X16" s="121"/>
      <c r="Y16" s="120">
        <f>'Inflammatory HD'!I6</f>
        <v>0</v>
      </c>
      <c r="Z16" s="121">
        <f>'Inflammatory HD'!I14</f>
        <v>0</v>
      </c>
      <c r="AA16" s="120">
        <f>'Resp diseases'!I6</f>
        <v>0</v>
      </c>
      <c r="AB16" s="234">
        <f>'Resp diseases'!I14</f>
        <v>0</v>
      </c>
      <c r="AC16" s="120">
        <f t="shared" si="3"/>
        <v>1.4997727314656548</v>
      </c>
      <c r="AD16" s="121">
        <f t="shared" si="4"/>
        <v>27.975814322965661</v>
      </c>
      <c r="AE16" s="120">
        <f>'All-cause mort'!AR6</f>
        <v>2.012511777529653</v>
      </c>
      <c r="AF16" s="121">
        <f>'All-cause mort'!AR14</f>
        <v>3.3105983469499733</v>
      </c>
      <c r="AG16" s="232"/>
    </row>
    <row r="17" spans="1:33" ht="13.4" customHeight="1" x14ac:dyDescent="0.3">
      <c r="C17" s="983"/>
      <c r="D17" s="33" t="s">
        <v>6</v>
      </c>
      <c r="E17" s="120">
        <f>'Breast cancer'!AQ7</f>
        <v>0</v>
      </c>
      <c r="F17" s="121">
        <f>'Breast cancer'!AQ15</f>
        <v>1.8284790069856172</v>
      </c>
      <c r="G17" s="120">
        <f>'Colon Cancer'!AQ7</f>
        <v>0.21872589756935668</v>
      </c>
      <c r="H17" s="121">
        <f>'Colon Cancer'!AQ15</f>
        <v>0.72285792995774045</v>
      </c>
      <c r="I17" s="234">
        <f>Stroke_air!AR7</f>
        <v>0.39299271690777005</v>
      </c>
      <c r="J17" s="234">
        <f>Stroke_air!AR15</f>
        <v>2.330853686276896</v>
      </c>
      <c r="K17" s="120">
        <f>CVD_air!AR7</f>
        <v>2.7731879703878803</v>
      </c>
      <c r="L17" s="121">
        <f>CVD_air!AR15</f>
        <v>3.869892865115844</v>
      </c>
      <c r="M17" s="120">
        <f>Depression!AQ7</f>
        <v>0</v>
      </c>
      <c r="N17" s="121">
        <f>Depression!AQ15</f>
        <v>0</v>
      </c>
      <c r="O17" s="120">
        <f>Dementia!AQ7</f>
        <v>1.0285041962031727E-2</v>
      </c>
      <c r="P17" s="121">
        <f>Dementia!AQ15</f>
        <v>8.9867758865199932E-2</v>
      </c>
      <c r="Q17" s="120">
        <f>Diabetes!AQ7</f>
        <v>0.30401671470906422</v>
      </c>
      <c r="R17" s="121">
        <f>Diabetes!AQ15</f>
        <v>0.89476932129358033</v>
      </c>
      <c r="S17" s="234">
        <f>HHD_air!AR7</f>
        <v>5.2091434017846439E-2</v>
      </c>
      <c r="T17" s="234">
        <f>HHD_air!AR15</f>
        <v>0.19151290804011722</v>
      </c>
      <c r="U17" s="120">
        <f>'Lung Cancer'!I7</f>
        <v>0</v>
      </c>
      <c r="V17" s="121">
        <f>'Lung Cancer'!I15</f>
        <v>0</v>
      </c>
      <c r="W17" s="120"/>
      <c r="X17" s="121"/>
      <c r="Y17" s="120">
        <f>'Inflammatory HD'!I7</f>
        <v>0</v>
      </c>
      <c r="Z17" s="121">
        <f>'Inflammatory HD'!I15</f>
        <v>0</v>
      </c>
      <c r="AA17" s="120">
        <f>'Resp diseases'!I7</f>
        <v>0</v>
      </c>
      <c r="AB17" s="234">
        <f>'Resp diseases'!I15</f>
        <v>0</v>
      </c>
      <c r="AC17" s="120">
        <f t="shared" si="3"/>
        <v>3.7512997755539494</v>
      </c>
      <c r="AD17" s="121">
        <f t="shared" si="4"/>
        <v>9.9282334765349951</v>
      </c>
      <c r="AE17" s="120">
        <f>'All-cause mort'!AR7</f>
        <v>2.0694961082117516</v>
      </c>
      <c r="AF17" s="121">
        <f>'All-cause mort'!AR15</f>
        <v>9.1182363527059351</v>
      </c>
      <c r="AG17" s="232"/>
    </row>
    <row r="18" spans="1:33" ht="13.4" customHeight="1" x14ac:dyDescent="0.3">
      <c r="C18" s="983"/>
      <c r="D18" s="33" t="s">
        <v>7</v>
      </c>
      <c r="E18" s="120">
        <f>'Breast cancer'!AQ8</f>
        <v>0</v>
      </c>
      <c r="F18" s="121">
        <f>'Breast cancer'!AQ16</f>
        <v>2.3188431784245722</v>
      </c>
      <c r="G18" s="120">
        <f>'Colon Cancer'!AQ8</f>
        <v>2.7161372450898398</v>
      </c>
      <c r="H18" s="121">
        <f>'Colon Cancer'!AQ16</f>
        <v>2.0123364382628779</v>
      </c>
      <c r="I18" s="234">
        <f>Stroke_air!AR8</f>
        <v>4.6072504493636188</v>
      </c>
      <c r="J18" s="234">
        <f>Stroke_air!AR16</f>
        <v>3.742020273780895</v>
      </c>
      <c r="K18" s="120">
        <f>CVD_air!AR8</f>
        <v>24.287916880977264</v>
      </c>
      <c r="L18" s="121">
        <f>CVD_air!AR16</f>
        <v>8.592406325460388</v>
      </c>
      <c r="M18" s="120">
        <f>Depression!AQ8</f>
        <v>0</v>
      </c>
      <c r="N18" s="121">
        <f>Depression!AQ16</f>
        <v>0</v>
      </c>
      <c r="O18" s="120">
        <f>Dementia!AQ8</f>
        <v>0.65102758159540031</v>
      </c>
      <c r="P18" s="121">
        <f>Dementia!AQ16</f>
        <v>1.0705050465305135</v>
      </c>
      <c r="Q18" s="120">
        <f>Diabetes!AQ8</f>
        <v>2.9268531156139375</v>
      </c>
      <c r="R18" s="121">
        <f>Diabetes!AQ16</f>
        <v>1.7086423715501553</v>
      </c>
      <c r="S18" s="234">
        <f>HHD_air!AR8</f>
        <v>0.42940566561951243</v>
      </c>
      <c r="T18" s="234">
        <f>HHD_air!AR16</f>
        <v>0.38812868314172988</v>
      </c>
      <c r="U18" s="120">
        <f>'Lung Cancer'!I8</f>
        <v>0</v>
      </c>
      <c r="V18" s="121">
        <f>'Lung Cancer'!I16</f>
        <v>0</v>
      </c>
      <c r="W18" s="120"/>
      <c r="X18" s="121"/>
      <c r="Y18" s="120">
        <f>'Inflammatory HD'!I8</f>
        <v>0</v>
      </c>
      <c r="Z18" s="121">
        <f>'Inflammatory HD'!I16</f>
        <v>0</v>
      </c>
      <c r="AA18" s="120">
        <f>'Resp diseases'!I8</f>
        <v>0</v>
      </c>
      <c r="AB18" s="234">
        <f>'Resp diseases'!I16</f>
        <v>0</v>
      </c>
      <c r="AC18" s="120">
        <f t="shared" si="3"/>
        <v>35.618590938259572</v>
      </c>
      <c r="AD18" s="121">
        <f t="shared" si="4"/>
        <v>19.832882317151132</v>
      </c>
      <c r="AE18" s="120">
        <f>'All-cause mort'!AR8</f>
        <v>20.84547679321804</v>
      </c>
      <c r="AF18" s="121">
        <f>'All-cause mort'!AR16</f>
        <v>27.563323085980301</v>
      </c>
      <c r="AG18" s="232"/>
    </row>
    <row r="19" spans="1:33" ht="13.4" customHeight="1" x14ac:dyDescent="0.3">
      <c r="C19" s="983"/>
      <c r="D19" s="33" t="s">
        <v>8</v>
      </c>
      <c r="E19" s="120">
        <f>'Breast cancer'!AQ9</f>
        <v>0</v>
      </c>
      <c r="F19" s="121">
        <f>'Breast cancer'!AQ17</f>
        <v>1.3924635286716125</v>
      </c>
      <c r="G19" s="120">
        <f>'Colon Cancer'!AQ9</f>
        <v>4.112592828683546</v>
      </c>
      <c r="H19" s="121">
        <f>'Colon Cancer'!AQ17</f>
        <v>2.040026709377571</v>
      </c>
      <c r="I19" s="234">
        <f>Stroke_air!AR9</f>
        <v>6.5773150115555836</v>
      </c>
      <c r="J19" s="234">
        <f>Stroke_air!AR17</f>
        <v>3.0754253679916701</v>
      </c>
      <c r="K19" s="120">
        <f>CVD_air!AR9</f>
        <v>22.270661124634898</v>
      </c>
      <c r="L19" s="121">
        <f>CVD_air!AR17</f>
        <v>5.9818797349537363</v>
      </c>
      <c r="M19" s="120">
        <f>Depression!AQ9</f>
        <v>0</v>
      </c>
      <c r="N19" s="121">
        <f>Depression!AQ17</f>
        <v>0</v>
      </c>
      <c r="O19" s="120">
        <f>Dementia!AQ9</f>
        <v>3.5247391228067499</v>
      </c>
      <c r="P19" s="121">
        <f>Dementia!AQ17</f>
        <v>3.5273084512007813</v>
      </c>
      <c r="Q19" s="120">
        <f>Diabetes!AQ9</f>
        <v>2.624181081114159</v>
      </c>
      <c r="R19" s="121">
        <f>Diabetes!AQ17</f>
        <v>0.81612693039551232</v>
      </c>
      <c r="S19" s="234">
        <f>HHD_air!AR9</f>
        <v>0.52725140021370009</v>
      </c>
      <c r="T19" s="234">
        <f>HHD_air!AR17</f>
        <v>0.24535337776057276</v>
      </c>
      <c r="U19" s="120">
        <f>'Lung Cancer'!I9</f>
        <v>0</v>
      </c>
      <c r="V19" s="121">
        <f>'Lung Cancer'!I17</f>
        <v>0</v>
      </c>
      <c r="W19" s="120"/>
      <c r="X19" s="121"/>
      <c r="Y19" s="120">
        <f>'Inflammatory HD'!I9</f>
        <v>0</v>
      </c>
      <c r="Z19" s="121">
        <f>'Inflammatory HD'!I17</f>
        <v>0</v>
      </c>
      <c r="AA19" s="120">
        <f>'Resp diseases'!I9</f>
        <v>0</v>
      </c>
      <c r="AB19" s="234">
        <f>'Resp diseases'!I17</f>
        <v>0</v>
      </c>
      <c r="AC19" s="120">
        <f t="shared" si="3"/>
        <v>39.636740569008637</v>
      </c>
      <c r="AD19" s="121">
        <f t="shared" si="4"/>
        <v>17.078584100351456</v>
      </c>
      <c r="AE19" s="120">
        <f>'All-cause mort'!AR9</f>
        <v>52.239394187823564</v>
      </c>
      <c r="AF19" s="121">
        <f>'All-cause mort'!AR17</f>
        <v>42.821062068778701</v>
      </c>
      <c r="AG19" s="232"/>
    </row>
    <row r="20" spans="1:33" ht="13.4" customHeight="1" x14ac:dyDescent="0.3">
      <c r="C20" s="983"/>
      <c r="D20" s="34" t="s">
        <v>9</v>
      </c>
      <c r="E20" s="120">
        <f>'Breast cancer'!AQ10</f>
        <v>0</v>
      </c>
      <c r="F20" s="121">
        <f>'Breast cancer'!AQ18</f>
        <v>0.37859311739848067</v>
      </c>
      <c r="G20" s="120">
        <f>'Colon Cancer'!AQ10</f>
        <v>1.6239013864329763</v>
      </c>
      <c r="H20" s="121">
        <f>'Colon Cancer'!AQ18</f>
        <v>0.75640676145860652</v>
      </c>
      <c r="I20" s="234">
        <f>Stroke_air!AR10</f>
        <v>3.9115481930368787</v>
      </c>
      <c r="J20" s="234">
        <f>Stroke_air!AR18</f>
        <v>5.6246963441424214</v>
      </c>
      <c r="K20" s="120">
        <f>CVD_air!AR10</f>
        <v>10.346441449956728</v>
      </c>
      <c r="L20" s="121">
        <f>CVD_air!AR18</f>
        <v>9.1782697587127586</v>
      </c>
      <c r="M20" s="120">
        <f>Depression!AQ10</f>
        <v>0</v>
      </c>
      <c r="N20" s="121">
        <f>Depression!AQ18</f>
        <v>0</v>
      </c>
      <c r="O20" s="120">
        <f>Dementia!AQ10</f>
        <v>8.2783743327306638</v>
      </c>
      <c r="P20" s="121">
        <f>Dementia!AQ18</f>
        <v>6.537748219777086</v>
      </c>
      <c r="Q20" s="120">
        <f>Diabetes!AQ10</f>
        <v>0.8411495686040098</v>
      </c>
      <c r="R20" s="121">
        <f>Diabetes!AQ18</f>
        <v>0.72977885296964473</v>
      </c>
      <c r="S20" s="234">
        <f>HHD_air!AR10</f>
        <v>0.39373640531840692</v>
      </c>
      <c r="T20" s="234">
        <f>HHD_air!AR18</f>
        <v>0.73173844786646214</v>
      </c>
      <c r="U20" s="120">
        <f>'Lung Cancer'!I10</f>
        <v>0</v>
      </c>
      <c r="V20" s="121">
        <f>'Lung Cancer'!I18</f>
        <v>0</v>
      </c>
      <c r="W20" s="120"/>
      <c r="X20" s="121"/>
      <c r="Y20" s="120">
        <f>'Inflammatory HD'!I10</f>
        <v>0</v>
      </c>
      <c r="Z20" s="121">
        <f>'Inflammatory HD'!I18</f>
        <v>0</v>
      </c>
      <c r="AA20" s="120">
        <f>'Resp diseases'!I10</f>
        <v>0</v>
      </c>
      <c r="AB20" s="234">
        <f>'Resp diseases'!I18</f>
        <v>0</v>
      </c>
      <c r="AC20" s="220">
        <f t="shared" si="3"/>
        <v>25.395151336079664</v>
      </c>
      <c r="AD20" s="221">
        <f t="shared" si="4"/>
        <v>23.93723150232546</v>
      </c>
      <c r="AE20" s="120">
        <f>'All-cause mort'!AR10</f>
        <v>46.895242861506631</v>
      </c>
      <c r="AF20" s="121">
        <f>'All-cause mort'!AR18</f>
        <v>32.629497112549871</v>
      </c>
      <c r="AG20" s="232"/>
    </row>
    <row r="21" spans="1:33" ht="13.4" customHeight="1" x14ac:dyDescent="0.3">
      <c r="C21" s="983"/>
      <c r="D21" s="955" t="s">
        <v>72</v>
      </c>
      <c r="E21" s="395">
        <f>SUM(E13:E20)</f>
        <v>0</v>
      </c>
      <c r="F21" s="125">
        <f t="shared" ref="F21:AF21" si="5">SUM(F13:F20)</f>
        <v>6.5807611830450874</v>
      </c>
      <c r="G21" s="260">
        <f t="shared" si="5"/>
        <v>8.7972819851537913</v>
      </c>
      <c r="H21" s="261">
        <f t="shared" si="5"/>
        <v>5.7206394511986005</v>
      </c>
      <c r="I21" s="125">
        <f t="shared" si="5"/>
        <v>15.839380819813648</v>
      </c>
      <c r="J21" s="125">
        <f t="shared" si="5"/>
        <v>26.639634735243959</v>
      </c>
      <c r="K21" s="224">
        <f t="shared" si="5"/>
        <v>61.044273652433226</v>
      </c>
      <c r="L21" s="125">
        <f t="shared" si="5"/>
        <v>39.506556244384868</v>
      </c>
      <c r="M21" s="224">
        <f t="shared" si="5"/>
        <v>0</v>
      </c>
      <c r="N21" s="125">
        <f t="shared" si="5"/>
        <v>0</v>
      </c>
      <c r="O21" s="224">
        <f t="shared" si="5"/>
        <v>12.464451826954672</v>
      </c>
      <c r="P21" s="125">
        <f t="shared" si="5"/>
        <v>11.225578964971504</v>
      </c>
      <c r="Q21" s="224">
        <f t="shared" si="5"/>
        <v>6.9138852152513266</v>
      </c>
      <c r="R21" s="125">
        <f t="shared" si="5"/>
        <v>7.3624174983292772</v>
      </c>
      <c r="S21" s="224">
        <f t="shared" si="5"/>
        <v>1.4292915715057113</v>
      </c>
      <c r="T21" s="235">
        <f t="shared" si="5"/>
        <v>2.2042093518259782</v>
      </c>
      <c r="U21" s="224">
        <f t="shared" si="5"/>
        <v>0</v>
      </c>
      <c r="V21" s="125">
        <f t="shared" si="5"/>
        <v>0</v>
      </c>
      <c r="W21" s="224">
        <f t="shared" si="5"/>
        <v>0</v>
      </c>
      <c r="X21" s="125">
        <f t="shared" si="5"/>
        <v>0</v>
      </c>
      <c r="Y21" s="224">
        <f t="shared" si="5"/>
        <v>0</v>
      </c>
      <c r="Z21" s="125">
        <f t="shared" si="5"/>
        <v>0</v>
      </c>
      <c r="AA21" s="224">
        <f t="shared" si="5"/>
        <v>0</v>
      </c>
      <c r="AB21" s="125">
        <f t="shared" si="5"/>
        <v>0</v>
      </c>
      <c r="AC21" s="223">
        <f t="shared" si="5"/>
        <v>106.48856507111238</v>
      </c>
      <c r="AD21" s="395">
        <f t="shared" si="5"/>
        <v>99.239797428999282</v>
      </c>
      <c r="AE21" s="224">
        <f t="shared" si="5"/>
        <v>129.63718074518783</v>
      </c>
      <c r="AF21" s="235">
        <f t="shared" si="5"/>
        <v>118.79197393288496</v>
      </c>
      <c r="AG21" s="232">
        <f>AC21+AD21</f>
        <v>205.72836250011164</v>
      </c>
    </row>
    <row r="22" spans="1:33" ht="13.4" customHeight="1" thickBot="1" x14ac:dyDescent="0.4">
      <c r="C22" s="990"/>
      <c r="D22" s="996"/>
      <c r="E22" s="981">
        <f>'Breast cancer'!AQ20</f>
        <v>4.0129939575309716E-4</v>
      </c>
      <c r="F22" s="966"/>
      <c r="G22" s="981">
        <f>'Colon Cancer'!AQ20</f>
        <v>5.7354059914204066E-4</v>
      </c>
      <c r="H22" s="966"/>
      <c r="I22" s="981">
        <f>Stroke_air!AR20</f>
        <v>1.4239394083066645E-3</v>
      </c>
      <c r="J22" s="966"/>
      <c r="K22" s="981">
        <f>CVD_air!AR20</f>
        <v>1.2085656453146769E-3</v>
      </c>
      <c r="L22" s="966"/>
      <c r="M22" s="981">
        <f>IFERROR(Depression!AQ20,0)</f>
        <v>0</v>
      </c>
      <c r="N22" s="966"/>
      <c r="O22" s="981">
        <f>Dementia!AQ20</f>
        <v>1.1844924692074933E-3</v>
      </c>
      <c r="P22" s="966"/>
      <c r="Q22" s="981">
        <f>Diabetes!AQ20</f>
        <v>1.3383861605330903E-3</v>
      </c>
      <c r="R22" s="966"/>
      <c r="S22" s="981">
        <f>HHD_air!AR20</f>
        <v>1.1973242002198019E-3</v>
      </c>
      <c r="T22" s="966"/>
      <c r="U22" s="981">
        <f>'Lung Cancer'!M21</f>
        <v>0</v>
      </c>
      <c r="V22" s="966"/>
      <c r="W22" s="981">
        <f>'Acute Resp Infect'!I20</f>
        <v>0</v>
      </c>
      <c r="X22" s="966"/>
      <c r="Y22" s="981">
        <f>'Inflammatory HD'!M21</f>
        <v>0</v>
      </c>
      <c r="Z22" s="966"/>
      <c r="AA22" s="981">
        <f>'Resp diseases'!M21</f>
        <v>0</v>
      </c>
      <c r="AB22" s="966"/>
      <c r="AC22" s="963">
        <f>(AC21+AD21)/GBDNZ!F236</f>
        <v>3.9266682465668399E-4</v>
      </c>
      <c r="AD22" s="978"/>
      <c r="AE22" s="963">
        <f>(AE21+AF21)/GBDNZ!F236</f>
        <v>4.7416839435316115E-4</v>
      </c>
      <c r="AF22" s="964"/>
      <c r="AG22" s="232"/>
    </row>
    <row r="23" spans="1:33" ht="13.4" customHeight="1" x14ac:dyDescent="0.3">
      <c r="C23" s="982" t="s">
        <v>77</v>
      </c>
      <c r="D23" s="225" t="s">
        <v>2</v>
      </c>
      <c r="E23" s="120">
        <f>'Breast cancer'!AR3</f>
        <v>0</v>
      </c>
      <c r="F23" s="121">
        <f>'Breast cancer'!AR11</f>
        <v>0</v>
      </c>
      <c r="G23" s="120">
        <f>'Colon Cancer'!AR3</f>
        <v>0</v>
      </c>
      <c r="H23" s="121">
        <f>'Colon Cancer'!AR11</f>
        <v>0</v>
      </c>
      <c r="I23" s="234">
        <f>Stroke_air!AS3</f>
        <v>0</v>
      </c>
      <c r="J23" s="234">
        <f>Stroke_air!AS11</f>
        <v>0</v>
      </c>
      <c r="K23" s="120">
        <f>CVD_air!AS3</f>
        <v>0</v>
      </c>
      <c r="L23" s="121">
        <f>CVD_air!AS11</f>
        <v>0</v>
      </c>
      <c r="M23" s="120">
        <f>Depression!AR3</f>
        <v>0</v>
      </c>
      <c r="N23" s="121">
        <f>Depression!AR11</f>
        <v>0</v>
      </c>
      <c r="O23" s="120">
        <f>Dementia!AR3</f>
        <v>0</v>
      </c>
      <c r="P23" s="121">
        <f>Dementia!AR11</f>
        <v>0</v>
      </c>
      <c r="Q23" s="120">
        <f>Diabetes!AR3</f>
        <v>0</v>
      </c>
      <c r="R23" s="121">
        <f>Diabetes!AR11</f>
        <v>0</v>
      </c>
      <c r="S23" s="234">
        <f>HHD_air!AS3</f>
        <v>0</v>
      </c>
      <c r="T23" s="234">
        <f>HHD_air!AS11</f>
        <v>0</v>
      </c>
      <c r="U23" s="120">
        <f>-'Lung Cancer'!J3</f>
        <v>0</v>
      </c>
      <c r="V23" s="121">
        <f>'Lung Cancer'!J11</f>
        <v>0</v>
      </c>
      <c r="W23" s="120">
        <f>'Acute Resp Infect'!J3</f>
        <v>0</v>
      </c>
      <c r="X23" s="121">
        <f>'Acute Resp Infect'!K3</f>
        <v>0</v>
      </c>
      <c r="Y23" s="120"/>
      <c r="Z23" s="121"/>
      <c r="AA23" s="120"/>
      <c r="AB23" s="234"/>
      <c r="AC23" s="120">
        <f>E23+G23+K23+M23+O23++Q23+U23+W23+Y23+AA23+I23+S23</f>
        <v>0</v>
      </c>
      <c r="AD23" s="121">
        <f>F23+H23+L23+N23+P23++R23+V23+X23+Z23+AB23+J23+T23</f>
        <v>0</v>
      </c>
      <c r="AE23" s="120">
        <f>'All-cause mort'!AS3</f>
        <v>0</v>
      </c>
      <c r="AF23" s="121">
        <f>'All-cause mort'!AS13</f>
        <v>0</v>
      </c>
      <c r="AG23" s="232"/>
    </row>
    <row r="24" spans="1:33" ht="13.4" customHeight="1" x14ac:dyDescent="0.3">
      <c r="C24" s="983"/>
      <c r="D24" s="33" t="s">
        <v>3</v>
      </c>
      <c r="E24" s="120">
        <f>'Breast cancer'!AR4</f>
        <v>0</v>
      </c>
      <c r="F24" s="121">
        <f>'Breast cancer'!AR12</f>
        <v>0</v>
      </c>
      <c r="G24" s="120">
        <f>'Colon Cancer'!AR4</f>
        <v>0</v>
      </c>
      <c r="H24" s="121">
        <f>'Colon Cancer'!AR12</f>
        <v>0</v>
      </c>
      <c r="I24" s="234">
        <f>Stroke_air!AS4</f>
        <v>0</v>
      </c>
      <c r="J24" s="234">
        <f>Stroke_air!AS12</f>
        <v>0</v>
      </c>
      <c r="K24" s="120">
        <f>CVD_air!AS4</f>
        <v>0</v>
      </c>
      <c r="L24" s="121">
        <f>CVD_air!AS12</f>
        <v>0</v>
      </c>
      <c r="M24" s="120">
        <f>Depression!AR4</f>
        <v>0</v>
      </c>
      <c r="N24" s="121">
        <f>Depression!AR12</f>
        <v>0</v>
      </c>
      <c r="O24" s="120">
        <f>Dementia!AR4</f>
        <v>0</v>
      </c>
      <c r="P24" s="121">
        <f>Dementia!AR12</f>
        <v>0</v>
      </c>
      <c r="Q24" s="120">
        <f>Diabetes!AR4</f>
        <v>0</v>
      </c>
      <c r="R24" s="121">
        <f>Diabetes!AR12</f>
        <v>0</v>
      </c>
      <c r="S24" s="234">
        <f>HHD_air!AS4</f>
        <v>0</v>
      </c>
      <c r="T24" s="234">
        <f>HHD_air!AS12</f>
        <v>0</v>
      </c>
      <c r="U24" s="120">
        <f>'Lung Cancer'!J4</f>
        <v>0</v>
      </c>
      <c r="V24" s="121">
        <f>'Lung Cancer'!J12</f>
        <v>0</v>
      </c>
      <c r="W24" s="120"/>
      <c r="X24" s="121"/>
      <c r="Y24" s="120"/>
      <c r="Z24" s="121"/>
      <c r="AA24" s="120"/>
      <c r="AB24" s="234"/>
      <c r="AC24" s="120">
        <f t="shared" ref="AC24:AC30" si="6">E24+G24+K24+M24+O24++Q24+U24+W24+Y24+AA24+I24+S24</f>
        <v>0</v>
      </c>
      <c r="AD24" s="121">
        <f t="shared" ref="AD24:AD30" si="7">F24+H24+L24+N24+P24++R24+V24+X24+Z24+AB24+J24+T24</f>
        <v>0</v>
      </c>
      <c r="AE24" s="120">
        <f>'All-cause mort'!AS4</f>
        <v>0</v>
      </c>
      <c r="AF24" s="121">
        <f>'All-cause mort'!AS14</f>
        <v>0</v>
      </c>
      <c r="AG24" s="232"/>
    </row>
    <row r="25" spans="1:33" ht="13.4" customHeight="1" x14ac:dyDescent="0.3">
      <c r="C25" s="983"/>
      <c r="D25" s="33" t="s">
        <v>4</v>
      </c>
      <c r="E25" s="120">
        <f>'Breast cancer'!AR5</f>
        <v>0</v>
      </c>
      <c r="F25" s="121">
        <f>'Breast cancer'!AR13</f>
        <v>2.0214266094515931E-3</v>
      </c>
      <c r="G25" s="120">
        <f>'Colon Cancer'!AR5</f>
        <v>9.6784401697769251E-4</v>
      </c>
      <c r="H25" s="121">
        <f>'Colon Cancer'!AR13</f>
        <v>7.7732692980631013E-4</v>
      </c>
      <c r="I25" s="234">
        <f>Stroke_air!AS5</f>
        <v>3.7877586948712683E-2</v>
      </c>
      <c r="J25" s="234">
        <f>Stroke_air!AS13</f>
        <v>3.4615470119426561E-2</v>
      </c>
      <c r="K25" s="120">
        <f>CVD_air!AS5</f>
        <v>1.3387701596512536E-3</v>
      </c>
      <c r="L25" s="121">
        <f>CVD_air!AS13</f>
        <v>1.5930476276501404E-3</v>
      </c>
      <c r="M25" s="120">
        <f>Depression!AR5</f>
        <v>0.77635042090753359</v>
      </c>
      <c r="N25" s="121">
        <f>Depression!AR13</f>
        <v>1.830303640896318</v>
      </c>
      <c r="O25" s="120">
        <f>Dementia!AR5</f>
        <v>0</v>
      </c>
      <c r="P25" s="121">
        <f>Dementia!AR13</f>
        <v>0</v>
      </c>
      <c r="Q25" s="120">
        <f>Diabetes!AR5</f>
        <v>0.40070958361924625</v>
      </c>
      <c r="R25" s="121">
        <f>Diabetes!AR13</f>
        <v>0.48754832853765606</v>
      </c>
      <c r="S25" s="234">
        <f>HHD_air!AS5</f>
        <v>8.5539188853145376E-4</v>
      </c>
      <c r="T25" s="234">
        <f>HHD_air!AS13</f>
        <v>1.7454869068619372E-3</v>
      </c>
      <c r="U25" s="120">
        <f>'Lung Cancer'!J5</f>
        <v>0</v>
      </c>
      <c r="V25" s="121">
        <f>'Lung Cancer'!J13</f>
        <v>0</v>
      </c>
      <c r="W25" s="120"/>
      <c r="X25" s="121"/>
      <c r="Y25" s="120">
        <f>'Inflammatory HD'!J5</f>
        <v>0</v>
      </c>
      <c r="Z25" s="121">
        <f>'Inflammatory HD'!J13</f>
        <v>0</v>
      </c>
      <c r="AA25" s="120">
        <f>'Resp diseases'!J5</f>
        <v>0</v>
      </c>
      <c r="AB25" s="234">
        <f>'Resp diseases'!J13</f>
        <v>0</v>
      </c>
      <c r="AC25" s="120">
        <f t="shared" si="6"/>
        <v>1.218099597540653</v>
      </c>
      <c r="AD25" s="121">
        <f t="shared" si="7"/>
        <v>2.3586047276271707</v>
      </c>
      <c r="AE25" s="120">
        <f>'All-cause mort'!AS5</f>
        <v>0</v>
      </c>
      <c r="AF25" s="121">
        <f>'All-cause mort'!AS15</f>
        <v>0</v>
      </c>
      <c r="AG25" s="232"/>
    </row>
    <row r="26" spans="1:33" ht="13.4" customHeight="1" x14ac:dyDescent="0.3">
      <c r="C26" s="983"/>
      <c r="D26" s="33" t="s">
        <v>5</v>
      </c>
      <c r="E26" s="120">
        <f>'Breast cancer'!AR6</f>
        <v>0</v>
      </c>
      <c r="F26" s="121">
        <f>'Breast cancer'!AR14</f>
        <v>2.6577948160063869E-2</v>
      </c>
      <c r="G26" s="120">
        <f>'Colon Cancer'!AR6</f>
        <v>2.9578496520259456E-3</v>
      </c>
      <c r="H26" s="121">
        <f>'Colon Cancer'!AR14</f>
        <v>5.7089902777871515E-3</v>
      </c>
      <c r="I26" s="234">
        <f>Stroke_air!AS6</f>
        <v>3.7195613641248571E-2</v>
      </c>
      <c r="J26" s="234">
        <f>Stroke_air!AS14</f>
        <v>1.4157833273186764</v>
      </c>
      <c r="K26" s="120">
        <f>CVD_air!AS6</f>
        <v>5.1922296756186093E-3</v>
      </c>
      <c r="L26" s="121">
        <f>CVD_air!AS14</f>
        <v>0.16077252713526624</v>
      </c>
      <c r="M26" s="120">
        <f>Depression!AR6</f>
        <v>0.61324972490876917</v>
      </c>
      <c r="N26" s="121">
        <f>Depression!AR14</f>
        <v>2.538235617637838</v>
      </c>
      <c r="O26" s="120">
        <f>Dementia!AR6</f>
        <v>3.7811896037159842E-4</v>
      </c>
      <c r="P26" s="121">
        <f>Dementia!AR14</f>
        <v>1.0760613777006101E-3</v>
      </c>
      <c r="Q26" s="120">
        <f>Diabetes!AR6</f>
        <v>0.36894581451605291</v>
      </c>
      <c r="R26" s="121">
        <f>Diabetes!AR14</f>
        <v>17.007813244370823</v>
      </c>
      <c r="S26" s="234">
        <f>HHD_air!AS6</f>
        <v>9.8552141009022876E-4</v>
      </c>
      <c r="T26" s="234">
        <f>HHD_air!AS14</f>
        <v>5.3627159727296703E-2</v>
      </c>
      <c r="U26" s="120">
        <f>'Lung Cancer'!J6</f>
        <v>0</v>
      </c>
      <c r="V26" s="121">
        <f>'Lung Cancer'!J14</f>
        <v>0</v>
      </c>
      <c r="W26" s="120"/>
      <c r="X26" s="121"/>
      <c r="Y26" s="120">
        <f>'Inflammatory HD'!J6</f>
        <v>0</v>
      </c>
      <c r="Z26" s="121">
        <f>'Inflammatory HD'!J14</f>
        <v>0</v>
      </c>
      <c r="AA26" s="120">
        <f>'Resp diseases'!J6</f>
        <v>0</v>
      </c>
      <c r="AB26" s="234">
        <f>'Resp diseases'!J14</f>
        <v>0</v>
      </c>
      <c r="AC26" s="120">
        <f t="shared" si="6"/>
        <v>1.028904872764177</v>
      </c>
      <c r="AD26" s="121">
        <f t="shared" si="7"/>
        <v>21.20959487600545</v>
      </c>
      <c r="AE26" s="120">
        <f>'All-cause mort'!AS6</f>
        <v>0</v>
      </c>
      <c r="AF26" s="121">
        <f>'All-cause mort'!AS16</f>
        <v>0</v>
      </c>
      <c r="AG26" s="232"/>
    </row>
    <row r="27" spans="1:33" ht="13.4" customHeight="1" x14ac:dyDescent="0.3">
      <c r="C27" s="983"/>
      <c r="D27" s="33" t="s">
        <v>6</v>
      </c>
      <c r="E27" s="120">
        <f>'Breast cancer'!AR7</f>
        <v>0</v>
      </c>
      <c r="F27" s="121">
        <f>'Breast cancer'!AR15</f>
        <v>0.12391368952751236</v>
      </c>
      <c r="G27" s="120">
        <f>'Colon Cancer'!AR7</f>
        <v>9.7049381544955793E-3</v>
      </c>
      <c r="H27" s="121">
        <f>'Colon Cancer'!AR15</f>
        <v>3.1752881133190414E-2</v>
      </c>
      <c r="I27" s="234">
        <f>Stroke_air!AS7</f>
        <v>7.6242812261931192E-2</v>
      </c>
      <c r="J27" s="234">
        <f>Stroke_air!AS15</f>
        <v>0.30845403353201561</v>
      </c>
      <c r="K27" s="120">
        <f>CVD_air!AS7</f>
        <v>8.9473511338908907E-2</v>
      </c>
      <c r="L27" s="121">
        <f>CVD_air!AS15</f>
        <v>0.31293411941589966</v>
      </c>
      <c r="M27" s="120">
        <f>Depression!AR7</f>
        <v>0.29789746428264152</v>
      </c>
      <c r="N27" s="121">
        <f>Depression!AR15</f>
        <v>2.7590136066348805</v>
      </c>
      <c r="O27" s="120">
        <f>Dementia!AR7</f>
        <v>1.3993401238320047E-2</v>
      </c>
      <c r="P27" s="121">
        <f>Dementia!AR15</f>
        <v>9.3769803703473542E-2</v>
      </c>
      <c r="Q27" s="120">
        <f>Diabetes!AR7</f>
        <v>0.66071560061470791</v>
      </c>
      <c r="R27" s="121">
        <f>Diabetes!AR15</f>
        <v>3.1162193743064677</v>
      </c>
      <c r="S27" s="234">
        <f>HHD_air!AS7</f>
        <v>5.3003920482925793E-3</v>
      </c>
      <c r="T27" s="234">
        <f>HHD_air!AS15</f>
        <v>1.412504681148663E-2</v>
      </c>
      <c r="U27" s="120">
        <f>'Lung Cancer'!J7</f>
        <v>0</v>
      </c>
      <c r="V27" s="121">
        <f>'Lung Cancer'!J15</f>
        <v>0</v>
      </c>
      <c r="W27" s="120"/>
      <c r="X27" s="121"/>
      <c r="Y27" s="120">
        <f>'Inflammatory HD'!J7</f>
        <v>0</v>
      </c>
      <c r="Z27" s="121">
        <f>'Inflammatory HD'!J15</f>
        <v>0</v>
      </c>
      <c r="AA27" s="120">
        <f>'Resp diseases'!J7</f>
        <v>0</v>
      </c>
      <c r="AB27" s="234">
        <f>'Resp diseases'!J15</f>
        <v>0</v>
      </c>
      <c r="AC27" s="120">
        <f t="shared" si="6"/>
        <v>1.1533281199392977</v>
      </c>
      <c r="AD27" s="121">
        <f t="shared" si="7"/>
        <v>6.7601825550649259</v>
      </c>
      <c r="AE27" s="120">
        <f>'All-cause mort'!AS7</f>
        <v>0</v>
      </c>
      <c r="AF27" s="121">
        <f>'All-cause mort'!AS17</f>
        <v>0</v>
      </c>
      <c r="AG27" s="232"/>
    </row>
    <row r="28" spans="1:33" ht="13.4" customHeight="1" x14ac:dyDescent="0.3">
      <c r="C28" s="983"/>
      <c r="D28" s="33" t="s">
        <v>7</v>
      </c>
      <c r="E28" s="120">
        <f>'Breast cancer'!AR8</f>
        <v>0</v>
      </c>
      <c r="F28" s="121">
        <f>'Breast cancer'!AR16</f>
        <v>0.23340354090535698</v>
      </c>
      <c r="G28" s="120">
        <f>'Colon Cancer'!AR8</f>
        <v>0.14261164178036978</v>
      </c>
      <c r="H28" s="121">
        <f>'Colon Cancer'!AR16</f>
        <v>0.1095738146391767</v>
      </c>
      <c r="I28" s="234">
        <f>Stroke_air!AS8</f>
        <v>0.79215268972902209</v>
      </c>
      <c r="J28" s="234">
        <f>Stroke_air!AS16</f>
        <v>0.5157553677149167</v>
      </c>
      <c r="K28" s="120">
        <f>CVD_air!AS8</f>
        <v>1.4433853918311002</v>
      </c>
      <c r="L28" s="121">
        <f>CVD_air!AS16</f>
        <v>0.79481311347505823</v>
      </c>
      <c r="M28" s="120">
        <f>Depression!AR8</f>
        <v>1.1901215251028248</v>
      </c>
      <c r="N28" s="121">
        <f>Depression!AR16</f>
        <v>2.880702665695253</v>
      </c>
      <c r="O28" s="120">
        <f>Dementia!AR8</f>
        <v>0.42511446276195386</v>
      </c>
      <c r="P28" s="121">
        <f>Dementia!AR16</f>
        <v>0.79272409019193901</v>
      </c>
      <c r="Q28" s="120">
        <f>Diabetes!AR8</f>
        <v>4.1637399847426764</v>
      </c>
      <c r="R28" s="121">
        <f>Diabetes!AR16</f>
        <v>3.4193797373168877</v>
      </c>
      <c r="S28" s="234">
        <f>HHD_air!AS8</f>
        <v>4.6266414322331251E-2</v>
      </c>
      <c r="T28" s="234">
        <f>HHD_air!AS16</f>
        <v>2.8681949932832129E-2</v>
      </c>
      <c r="U28" s="120">
        <f>'Lung Cancer'!J8</f>
        <v>0</v>
      </c>
      <c r="V28" s="121">
        <f>'Lung Cancer'!J16</f>
        <v>0</v>
      </c>
      <c r="W28" s="120"/>
      <c r="X28" s="121"/>
      <c r="Y28" s="120">
        <f>'Inflammatory HD'!J8</f>
        <v>0</v>
      </c>
      <c r="Z28" s="121">
        <f>'Inflammatory HD'!J16</f>
        <v>0</v>
      </c>
      <c r="AA28" s="120">
        <f>'Resp diseases'!J8</f>
        <v>0</v>
      </c>
      <c r="AB28" s="234">
        <f>'Resp diseases'!J16</f>
        <v>0</v>
      </c>
      <c r="AC28" s="120">
        <f t="shared" si="6"/>
        <v>8.2033921102702791</v>
      </c>
      <c r="AD28" s="121">
        <f t="shared" si="7"/>
        <v>8.77503427987142</v>
      </c>
      <c r="AE28" s="120">
        <f>'All-cause mort'!AS8</f>
        <v>0</v>
      </c>
      <c r="AF28" s="121">
        <f>'All-cause mort'!AS18</f>
        <v>0</v>
      </c>
      <c r="AG28" s="232"/>
    </row>
    <row r="29" spans="1:33" ht="13.4" customHeight="1" x14ac:dyDescent="0.3">
      <c r="A29" s="263"/>
      <c r="C29" s="983"/>
      <c r="D29" s="33" t="s">
        <v>8</v>
      </c>
      <c r="E29" s="120">
        <f>'Breast cancer'!AR9</f>
        <v>0</v>
      </c>
      <c r="F29" s="121">
        <f>'Breast cancer'!AR17</f>
        <v>0.20359388464925132</v>
      </c>
      <c r="G29" s="120">
        <f>'Colon Cancer'!AR9</f>
        <v>0.28878556874484218</v>
      </c>
      <c r="H29" s="121">
        <f>'Colon Cancer'!AR17</f>
        <v>0.14777212435053855</v>
      </c>
      <c r="I29" s="234">
        <f>Stroke_air!AS9</f>
        <v>0.73125665628606384</v>
      </c>
      <c r="J29" s="234">
        <f>Stroke_air!AS17</f>
        <v>0.25245459227399891</v>
      </c>
      <c r="K29" s="120">
        <f>CVD_air!AS9</f>
        <v>1.2265249721209841</v>
      </c>
      <c r="L29" s="121">
        <f>CVD_air!AS17</f>
        <v>0.38498674887144091</v>
      </c>
      <c r="M29" s="120">
        <f>Depression!AR9</f>
        <v>1.1145160721007414</v>
      </c>
      <c r="N29" s="121">
        <f>Depression!AR17</f>
        <v>1.8912119881593981</v>
      </c>
      <c r="O29" s="120">
        <f>Dementia!AR9</f>
        <v>1.8081424060141273</v>
      </c>
      <c r="P29" s="121">
        <f>Dementia!AR17</f>
        <v>2.9314216476851129</v>
      </c>
      <c r="Q29" s="120">
        <f>Diabetes!AR9</f>
        <v>2.498356167939221</v>
      </c>
      <c r="R29" s="121">
        <f>Diabetes!AR17</f>
        <v>1.2913180870738188</v>
      </c>
      <c r="S29" s="234">
        <f>HHD_air!AS9</f>
        <v>4.0400449609900413E-2</v>
      </c>
      <c r="T29" s="234">
        <f>HHD_air!AS17</f>
        <v>1.8285425831297886E-2</v>
      </c>
      <c r="U29" s="120">
        <f>'Lung Cancer'!J9</f>
        <v>0</v>
      </c>
      <c r="V29" s="121">
        <f>'Lung Cancer'!J17</f>
        <v>0</v>
      </c>
      <c r="W29" s="120"/>
      <c r="X29" s="121"/>
      <c r="Y29" s="120">
        <f>'Inflammatory HD'!J9</f>
        <v>0</v>
      </c>
      <c r="Z29" s="121">
        <f>'Inflammatory HD'!J17</f>
        <v>0</v>
      </c>
      <c r="AA29" s="120">
        <f>'Resp diseases'!J9</f>
        <v>0</v>
      </c>
      <c r="AB29" s="234">
        <f>'Resp diseases'!J17</f>
        <v>0</v>
      </c>
      <c r="AC29" s="120">
        <f t="shared" si="6"/>
        <v>7.7079822928158803</v>
      </c>
      <c r="AD29" s="121">
        <f t="shared" si="7"/>
        <v>7.1210444988948574</v>
      </c>
      <c r="AE29" s="120">
        <f>'All-cause mort'!AS9</f>
        <v>0</v>
      </c>
      <c r="AF29" s="121">
        <f>'All-cause mort'!AS19</f>
        <v>0</v>
      </c>
      <c r="AG29" s="232"/>
    </row>
    <row r="30" spans="1:33" ht="13.4" customHeight="1" x14ac:dyDescent="0.3">
      <c r="C30" s="983"/>
      <c r="D30" s="34" t="s">
        <v>9</v>
      </c>
      <c r="E30" s="120">
        <f>'Breast cancer'!AR10</f>
        <v>0</v>
      </c>
      <c r="F30" s="121">
        <f>'Breast cancer'!AR18</f>
        <v>0.10626046051242355</v>
      </c>
      <c r="G30" s="120">
        <f>'Colon Cancer'!AR10</f>
        <v>0.1805384828012393</v>
      </c>
      <c r="H30" s="121">
        <f>'Colon Cancer'!AR18</f>
        <v>8.6965299969193666E-2</v>
      </c>
      <c r="I30" s="234">
        <f>Stroke_air!AS10</f>
        <v>0.25624152842588188</v>
      </c>
      <c r="J30" s="234">
        <f>Stroke_air!AS18</f>
        <v>0.20280660902241721</v>
      </c>
      <c r="K30" s="120">
        <f>CVD_air!AS10</f>
        <v>0.41422919530994307</v>
      </c>
      <c r="L30" s="121">
        <f>CVD_air!AS18</f>
        <v>0.4288615961967821</v>
      </c>
      <c r="M30" s="120">
        <f>Depression!AR10</f>
        <v>0.46401853351083844</v>
      </c>
      <c r="N30" s="121">
        <f>Depression!AR18</f>
        <v>0.63252232384419926</v>
      </c>
      <c r="O30" s="120">
        <f>Dementia!AR10</f>
        <v>4.1180139426442111</v>
      </c>
      <c r="P30" s="121">
        <f>Dementia!AR18</f>
        <v>6.0996857389766319</v>
      </c>
      <c r="Q30" s="120">
        <f>Diabetes!AR10</f>
        <v>0.84437024663884586</v>
      </c>
      <c r="R30" s="121">
        <f>Diabetes!AR18</f>
        <v>0.82401892942692712</v>
      </c>
      <c r="S30" s="234">
        <f>HHD_air!AS10</f>
        <v>1.5936898108675379E-2</v>
      </c>
      <c r="T30" s="234">
        <f>HHD_air!AS18</f>
        <v>1.7778336187412869E-2</v>
      </c>
      <c r="U30" s="120">
        <f>'Lung Cancer'!J10</f>
        <v>0</v>
      </c>
      <c r="V30" s="121">
        <f>'Lung Cancer'!J18</f>
        <v>0</v>
      </c>
      <c r="W30" s="120"/>
      <c r="X30" s="121"/>
      <c r="Y30" s="120">
        <f>'Inflammatory HD'!J10</f>
        <v>0</v>
      </c>
      <c r="Z30" s="121">
        <f>'Inflammatory HD'!J18</f>
        <v>0</v>
      </c>
      <c r="AA30" s="120">
        <f>'Resp diseases'!J10</f>
        <v>0</v>
      </c>
      <c r="AB30" s="234">
        <f>'Resp diseases'!J18</f>
        <v>0</v>
      </c>
      <c r="AC30" s="220">
        <f t="shared" si="6"/>
        <v>6.293348827439635</v>
      </c>
      <c r="AD30" s="221">
        <f t="shared" si="7"/>
        <v>8.3988992941359868</v>
      </c>
      <c r="AE30" s="120">
        <f>'All-cause mort'!AS10</f>
        <v>0</v>
      </c>
      <c r="AF30" s="121">
        <f>'All-cause mort'!AS20</f>
        <v>0</v>
      </c>
      <c r="AG30" s="232"/>
    </row>
    <row r="31" spans="1:33" ht="13.4" customHeight="1" x14ac:dyDescent="0.3">
      <c r="C31" s="983"/>
      <c r="D31" s="955" t="s">
        <v>72</v>
      </c>
      <c r="E31" s="395">
        <f>SUM(E23:E30)</f>
        <v>0</v>
      </c>
      <c r="F31" s="125">
        <f t="shared" ref="F31:AF31" si="8">SUM(F23:F30)</f>
        <v>0.69577095036405967</v>
      </c>
      <c r="G31" s="224">
        <f t="shared" si="8"/>
        <v>0.62556632514995048</v>
      </c>
      <c r="H31" s="125">
        <f t="shared" si="8"/>
        <v>0.38255043729969279</v>
      </c>
      <c r="I31" s="125">
        <f t="shared" si="8"/>
        <v>1.9309668872928603</v>
      </c>
      <c r="J31" s="125">
        <f t="shared" si="8"/>
        <v>2.7298693999814514</v>
      </c>
      <c r="K31" s="224">
        <f t="shared" si="8"/>
        <v>3.1801440704362061</v>
      </c>
      <c r="L31" s="125">
        <f t="shared" si="8"/>
        <v>2.0839611527220971</v>
      </c>
      <c r="M31" s="224">
        <f t="shared" si="8"/>
        <v>4.4561537408133489</v>
      </c>
      <c r="N31" s="125">
        <f t="shared" si="8"/>
        <v>12.531989842867887</v>
      </c>
      <c r="O31" s="224">
        <f t="shared" si="8"/>
        <v>6.3656423316189841</v>
      </c>
      <c r="P31" s="125">
        <f t="shared" si="8"/>
        <v>9.9186773419348579</v>
      </c>
      <c r="Q31" s="224">
        <f t="shared" si="8"/>
        <v>8.9368373980707503</v>
      </c>
      <c r="R31" s="125">
        <f t="shared" si="8"/>
        <v>26.14629770103258</v>
      </c>
      <c r="S31" s="224">
        <f t="shared" si="8"/>
        <v>0.1097450673878213</v>
      </c>
      <c r="T31" s="235">
        <f t="shared" si="8"/>
        <v>0.13424340539718815</v>
      </c>
      <c r="U31" s="224">
        <f t="shared" si="8"/>
        <v>0</v>
      </c>
      <c r="V31" s="125">
        <f t="shared" si="8"/>
        <v>0</v>
      </c>
      <c r="W31" s="224">
        <f t="shared" si="8"/>
        <v>0</v>
      </c>
      <c r="X31" s="224">
        <f t="shared" si="8"/>
        <v>0</v>
      </c>
      <c r="Y31" s="224">
        <f t="shared" si="8"/>
        <v>0</v>
      </c>
      <c r="Z31" s="125">
        <f t="shared" si="8"/>
        <v>0</v>
      </c>
      <c r="AA31" s="224">
        <f t="shared" si="8"/>
        <v>0</v>
      </c>
      <c r="AB31" s="125">
        <f t="shared" si="8"/>
        <v>0</v>
      </c>
      <c r="AC31" s="223">
        <f t="shared" si="8"/>
        <v>25.60505582076992</v>
      </c>
      <c r="AD31" s="270">
        <f t="shared" si="8"/>
        <v>54.623360231599818</v>
      </c>
      <c r="AE31" s="224">
        <f t="shared" si="8"/>
        <v>0</v>
      </c>
      <c r="AF31" s="235">
        <f t="shared" si="8"/>
        <v>0</v>
      </c>
      <c r="AG31" s="232">
        <f>AC31+AD31</f>
        <v>80.228416052369738</v>
      </c>
    </row>
    <row r="32" spans="1:33" ht="13.4" customHeight="1" thickBot="1" x14ac:dyDescent="0.4">
      <c r="C32" s="990"/>
      <c r="D32" s="996"/>
      <c r="E32" s="981">
        <f>'Breast cancer'!AR20</f>
        <v>4.516023508914987E-4</v>
      </c>
      <c r="F32" s="966"/>
      <c r="G32" s="981">
        <f>'Colon Cancer'!AR20</f>
        <v>6.3078190774487944E-4</v>
      </c>
      <c r="H32" s="966"/>
      <c r="I32" s="981">
        <f>Stroke_air!AS20</f>
        <v>1.6063327728201263E-3</v>
      </c>
      <c r="J32" s="966"/>
      <c r="K32" s="981">
        <f>CVD_air!AS20</f>
        <v>1.2443407729317653E-3</v>
      </c>
      <c r="L32" s="966"/>
      <c r="M32" s="981">
        <f>Depression!AR20</f>
        <v>4.2350777396155429E-4</v>
      </c>
      <c r="N32" s="966"/>
      <c r="O32" s="981">
        <f>Dementia!AR20</f>
        <v>1.109751676674734E-3</v>
      </c>
      <c r="P32" s="966"/>
      <c r="Q32" s="981">
        <f>Diabetes!AR20</f>
        <v>1.8382215496598711E-3</v>
      </c>
      <c r="R32" s="966"/>
      <c r="S32" s="981">
        <f>HHD_air!AS20</f>
        <v>1.3823731104579118E-3</v>
      </c>
      <c r="T32" s="966"/>
      <c r="U32" s="981">
        <f>'Lung Cancer'!N21</f>
        <v>0</v>
      </c>
      <c r="V32" s="966"/>
      <c r="W32" s="981">
        <f>'Acute Resp Infect'!J20</f>
        <v>0</v>
      </c>
      <c r="X32" s="966"/>
      <c r="Y32" s="981">
        <f>'Inflammatory HD'!N21</f>
        <v>0</v>
      </c>
      <c r="Z32" s="966"/>
      <c r="AA32" s="981">
        <f>'Resp diseases'!N21</f>
        <v>0</v>
      </c>
      <c r="AB32" s="966"/>
      <c r="AC32" s="963">
        <f>(AC31+AD31)/GBDNZ!G236</f>
        <v>1.4107141459658687E-4</v>
      </c>
      <c r="AD32" s="978"/>
      <c r="AE32" s="963">
        <v>0</v>
      </c>
      <c r="AF32" s="964"/>
      <c r="AG32" s="232"/>
    </row>
    <row r="33" spans="1:36" ht="13.4" customHeight="1" x14ac:dyDescent="0.3">
      <c r="C33" s="982" t="s">
        <v>28</v>
      </c>
      <c r="D33" s="225" t="s">
        <v>2</v>
      </c>
      <c r="E33" s="120">
        <f t="shared" ref="E33:G34" si="9">E13++E23</f>
        <v>0</v>
      </c>
      <c r="F33" s="121">
        <f t="shared" si="9"/>
        <v>0</v>
      </c>
      <c r="G33" s="120">
        <f t="shared" si="9"/>
        <v>0</v>
      </c>
      <c r="H33" s="121">
        <f t="shared" ref="H33:J34" si="10">H13+H23</f>
        <v>0</v>
      </c>
      <c r="I33" s="234">
        <f>I13+I23</f>
        <v>0</v>
      </c>
      <c r="J33" s="234">
        <f>J13+J23</f>
        <v>0</v>
      </c>
      <c r="K33" s="120">
        <f t="shared" ref="K33:P33" si="11">K13++K23</f>
        <v>0</v>
      </c>
      <c r="L33" s="121">
        <f t="shared" si="11"/>
        <v>0</v>
      </c>
      <c r="M33" s="120">
        <f t="shared" si="11"/>
        <v>0</v>
      </c>
      <c r="N33" s="121">
        <f t="shared" si="11"/>
        <v>0</v>
      </c>
      <c r="O33" s="120">
        <f t="shared" si="11"/>
        <v>0</v>
      </c>
      <c r="P33" s="121">
        <f t="shared" si="11"/>
        <v>0</v>
      </c>
      <c r="Q33" s="120">
        <f t="shared" ref="Q33:T34" si="12">Q13+Q23</f>
        <v>0</v>
      </c>
      <c r="R33" s="121">
        <f t="shared" si="12"/>
        <v>0</v>
      </c>
      <c r="S33" s="120">
        <f t="shared" si="12"/>
        <v>0</v>
      </c>
      <c r="T33" s="121">
        <f t="shared" si="12"/>
        <v>0</v>
      </c>
      <c r="U33" s="120">
        <f>U13++U23</f>
        <v>0</v>
      </c>
      <c r="V33" s="121">
        <f>V13++V23</f>
        <v>0</v>
      </c>
      <c r="W33" s="120">
        <f>W13++W23</f>
        <v>0</v>
      </c>
      <c r="X33" s="121">
        <f>X13+X23</f>
        <v>0</v>
      </c>
      <c r="Y33" s="120">
        <f t="shared" ref="Y33:AB40" si="13">Y13++Y23</f>
        <v>0</v>
      </c>
      <c r="Z33" s="121">
        <f t="shared" si="13"/>
        <v>0</v>
      </c>
      <c r="AA33" s="120">
        <f t="shared" si="13"/>
        <v>0</v>
      </c>
      <c r="AB33" s="121">
        <f t="shared" si="13"/>
        <v>0</v>
      </c>
      <c r="AC33" s="120">
        <f>E33+G33+K33+M33+O33++Q33+U33+W33+Y33+AA33+I33+S33</f>
        <v>0</v>
      </c>
      <c r="AD33" s="121">
        <f>F33+H33+L33+N33+P33++R33+V33+X33+Z33+AB33+J33+T33</f>
        <v>0</v>
      </c>
      <c r="AE33" s="120">
        <f t="shared" ref="AE33:AF40" si="14">AE13+AE23</f>
        <v>0</v>
      </c>
      <c r="AF33" s="121">
        <f t="shared" si="14"/>
        <v>0</v>
      </c>
      <c r="AG33" s="232"/>
    </row>
    <row r="34" spans="1:36" ht="13.4" customHeight="1" x14ac:dyDescent="0.3">
      <c r="C34" s="983"/>
      <c r="D34" s="33" t="s">
        <v>3</v>
      </c>
      <c r="E34" s="120">
        <f t="shared" si="9"/>
        <v>0</v>
      </c>
      <c r="F34" s="121">
        <f t="shared" si="9"/>
        <v>0</v>
      </c>
      <c r="G34" s="120">
        <f t="shared" si="9"/>
        <v>0</v>
      </c>
      <c r="H34" s="121">
        <f t="shared" si="10"/>
        <v>0</v>
      </c>
      <c r="I34" s="234">
        <f>I14+I24</f>
        <v>0</v>
      </c>
      <c r="J34" s="234">
        <f t="shared" si="10"/>
        <v>0</v>
      </c>
      <c r="K34" s="120">
        <f t="shared" ref="K34:P34" si="15">K14++K24</f>
        <v>0</v>
      </c>
      <c r="L34" s="121">
        <f t="shared" si="15"/>
        <v>0</v>
      </c>
      <c r="M34" s="120">
        <f t="shared" si="15"/>
        <v>0</v>
      </c>
      <c r="N34" s="121">
        <f t="shared" si="15"/>
        <v>0</v>
      </c>
      <c r="O34" s="120">
        <f t="shared" si="15"/>
        <v>0</v>
      </c>
      <c r="P34" s="121">
        <f t="shared" si="15"/>
        <v>0</v>
      </c>
      <c r="Q34" s="120">
        <f>Q14+Q24</f>
        <v>0</v>
      </c>
      <c r="R34" s="121">
        <f>R14+R24</f>
        <v>0</v>
      </c>
      <c r="S34" s="120">
        <f t="shared" si="12"/>
        <v>0</v>
      </c>
      <c r="T34" s="121">
        <f t="shared" si="12"/>
        <v>0</v>
      </c>
      <c r="U34" s="120">
        <f>U14++U24</f>
        <v>0</v>
      </c>
      <c r="V34" s="121">
        <f>V14++V24</f>
        <v>0</v>
      </c>
      <c r="W34" s="120"/>
      <c r="X34" s="121"/>
      <c r="Y34" s="120">
        <f t="shared" si="13"/>
        <v>0</v>
      </c>
      <c r="Z34" s="121">
        <f t="shared" si="13"/>
        <v>0</v>
      </c>
      <c r="AA34" s="120">
        <f t="shared" si="13"/>
        <v>0</v>
      </c>
      <c r="AB34" s="121">
        <f t="shared" si="13"/>
        <v>0</v>
      </c>
      <c r="AC34" s="120">
        <f t="shared" ref="AC34:AC40" si="16">E34+G34+K34+M34+O34++Q34+U34+W34+Y34+AA34+I34+S34</f>
        <v>0</v>
      </c>
      <c r="AD34" s="121">
        <f t="shared" ref="AD34:AD40" si="17">F34+H34+L34+N34+P34++R34+V34+X34+Z34+AB34+J34+T34</f>
        <v>0</v>
      </c>
      <c r="AE34" s="120">
        <f t="shared" si="14"/>
        <v>0</v>
      </c>
      <c r="AF34" s="121">
        <f t="shared" si="14"/>
        <v>0</v>
      </c>
    </row>
    <row r="35" spans="1:36" ht="13.4" customHeight="1" x14ac:dyDescent="0.3">
      <c r="A35" s="263"/>
      <c r="C35" s="983"/>
      <c r="D35" s="33" t="s">
        <v>4</v>
      </c>
      <c r="E35" s="120">
        <f t="shared" ref="E35:E40" si="18">E15++E25</f>
        <v>0</v>
      </c>
      <c r="F35" s="121">
        <f t="shared" ref="F35:P35" si="19">F15++F25</f>
        <v>5.0865077645904533E-2</v>
      </c>
      <c r="G35" s="120">
        <f t="shared" si="19"/>
        <v>4.2794798522363009E-2</v>
      </c>
      <c r="H35" s="121">
        <f t="shared" ref="H35:J40" si="20">H15+H25</f>
        <v>2.8523133281118607E-2</v>
      </c>
      <c r="I35" s="234">
        <f>I15+I25</f>
        <v>0.18944843879240647</v>
      </c>
      <c r="J35" s="234">
        <f t="shared" si="20"/>
        <v>0.22654164106736374</v>
      </c>
      <c r="K35" s="120">
        <f t="shared" si="19"/>
        <v>0.2851401615027056</v>
      </c>
      <c r="L35" s="121">
        <f t="shared" si="19"/>
        <v>0.14023760539259836</v>
      </c>
      <c r="M35" s="120">
        <f t="shared" si="19"/>
        <v>0.77635042090753359</v>
      </c>
      <c r="N35" s="121">
        <f t="shared" si="19"/>
        <v>1.830303640896318</v>
      </c>
      <c r="O35" s="120">
        <f t="shared" si="19"/>
        <v>0</v>
      </c>
      <c r="P35" s="121">
        <f t="shared" si="19"/>
        <v>0</v>
      </c>
      <c r="Q35" s="120">
        <f>Q15+Q25</f>
        <v>0.5046752426087977</v>
      </c>
      <c r="R35" s="121">
        <f>R15+R25</f>
        <v>0.56227439956964353</v>
      </c>
      <c r="S35" s="120">
        <f>S15+S25</f>
        <v>6.7002559517449489E-3</v>
      </c>
      <c r="T35" s="121">
        <f>T15+T25</f>
        <v>6.9109394447955941E-3</v>
      </c>
      <c r="U35" s="120">
        <f t="shared" ref="U35:V40" si="21">U15++U25</f>
        <v>0</v>
      </c>
      <c r="V35" s="121">
        <f t="shared" si="21"/>
        <v>0</v>
      </c>
      <c r="W35" s="120"/>
      <c r="X35" s="121"/>
      <c r="Y35" s="120">
        <f t="shared" si="13"/>
        <v>0</v>
      </c>
      <c r="Z35" s="121">
        <f t="shared" si="13"/>
        <v>0</v>
      </c>
      <c r="AA35" s="120">
        <f t="shared" si="13"/>
        <v>0</v>
      </c>
      <c r="AB35" s="121">
        <f t="shared" si="13"/>
        <v>0</v>
      </c>
      <c r="AC35" s="120">
        <f t="shared" si="16"/>
        <v>1.8051093182855515</v>
      </c>
      <c r="AD35" s="121">
        <f t="shared" si="17"/>
        <v>2.8456564372977424</v>
      </c>
      <c r="AE35" s="120">
        <f t="shared" si="14"/>
        <v>5.5750590168981944</v>
      </c>
      <c r="AF35" s="121">
        <f t="shared" si="14"/>
        <v>3.3492569659201763</v>
      </c>
    </row>
    <row r="36" spans="1:36" ht="13.4" customHeight="1" x14ac:dyDescent="0.3">
      <c r="C36" s="983"/>
      <c r="D36" s="33" t="s">
        <v>5</v>
      </c>
      <c r="E36" s="120">
        <f t="shared" si="18"/>
        <v>0</v>
      </c>
      <c r="F36" s="121">
        <f t="shared" ref="F36:G40" si="22">F16++F26</f>
        <v>0.64011664868841578</v>
      </c>
      <c r="G36" s="120">
        <f t="shared" si="22"/>
        <v>8.7055522524713158E-2</v>
      </c>
      <c r="H36" s="121">
        <f t="shared" si="20"/>
        <v>0.16697479606827947</v>
      </c>
      <c r="I36" s="234">
        <f>I16+I26</f>
        <v>0.23589921074735187</v>
      </c>
      <c r="J36" s="234">
        <f t="shared" si="20"/>
        <v>13.090496219422816</v>
      </c>
      <c r="K36" s="120">
        <f t="shared" ref="K36:P39" si="23">K16++K26</f>
        <v>1.0874570648090196</v>
      </c>
      <c r="L36" s="121">
        <f t="shared" si="23"/>
        <v>11.906235529512459</v>
      </c>
      <c r="M36" s="120">
        <f t="shared" si="23"/>
        <v>0.61324972490876917</v>
      </c>
      <c r="N36" s="121">
        <f t="shared" si="23"/>
        <v>2.538235617637838</v>
      </c>
      <c r="O36" s="120">
        <f t="shared" si="23"/>
        <v>4.0386682019850212E-4</v>
      </c>
      <c r="P36" s="121">
        <f t="shared" si="23"/>
        <v>1.2255499756240115E-3</v>
      </c>
      <c r="Q36" s="120">
        <f t="shared" ref="Q36:T40" si="24">Q16+Q26</f>
        <v>0.48266489073665753</v>
      </c>
      <c r="R36" s="121">
        <f t="shared" si="24"/>
        <v>20.14618719545922</v>
      </c>
      <c r="S36" s="120">
        <f t="shared" si="24"/>
        <v>2.1947323683122022E-2</v>
      </c>
      <c r="T36" s="121">
        <f t="shared" si="24"/>
        <v>0.69593764220645926</v>
      </c>
      <c r="U36" s="120">
        <f t="shared" si="21"/>
        <v>0</v>
      </c>
      <c r="V36" s="121">
        <f t="shared" si="21"/>
        <v>0</v>
      </c>
      <c r="W36" s="120"/>
      <c r="X36" s="121"/>
      <c r="Y36" s="120">
        <f t="shared" si="13"/>
        <v>0</v>
      </c>
      <c r="Z36" s="121">
        <f t="shared" si="13"/>
        <v>0</v>
      </c>
      <c r="AA36" s="120">
        <f t="shared" si="13"/>
        <v>0</v>
      </c>
      <c r="AB36" s="121">
        <f t="shared" si="13"/>
        <v>0</v>
      </c>
      <c r="AC36" s="120">
        <f t="shared" si="16"/>
        <v>2.5286776042298316</v>
      </c>
      <c r="AD36" s="121">
        <f t="shared" si="17"/>
        <v>49.185409198971115</v>
      </c>
      <c r="AE36" s="120">
        <f t="shared" si="14"/>
        <v>2.012511777529653</v>
      </c>
      <c r="AF36" s="121">
        <f t="shared" si="14"/>
        <v>3.3105983469499733</v>
      </c>
    </row>
    <row r="37" spans="1:36" ht="13.4" customHeight="1" x14ac:dyDescent="0.3">
      <c r="C37" s="983"/>
      <c r="D37" s="33" t="s">
        <v>6</v>
      </c>
      <c r="E37" s="120">
        <f t="shared" si="18"/>
        <v>0</v>
      </c>
      <c r="F37" s="121">
        <f t="shared" si="22"/>
        <v>1.9523926965131295</v>
      </c>
      <c r="G37" s="120">
        <f t="shared" si="22"/>
        <v>0.22843083572385225</v>
      </c>
      <c r="H37" s="121">
        <f t="shared" si="20"/>
        <v>0.75461081109093087</v>
      </c>
      <c r="I37" s="234">
        <f>I17+I27</f>
        <v>0.46923552916970124</v>
      </c>
      <c r="J37" s="234">
        <f t="shared" si="20"/>
        <v>2.6393077198089117</v>
      </c>
      <c r="K37" s="120">
        <f t="shared" si="23"/>
        <v>2.8626614817267892</v>
      </c>
      <c r="L37" s="121">
        <f t="shared" si="23"/>
        <v>4.1828269845317436</v>
      </c>
      <c r="M37" s="120">
        <f t="shared" si="23"/>
        <v>0.29789746428264152</v>
      </c>
      <c r="N37" s="121">
        <f t="shared" si="23"/>
        <v>2.7590136066348805</v>
      </c>
      <c r="O37" s="120">
        <f t="shared" si="23"/>
        <v>2.4278443200351774E-2</v>
      </c>
      <c r="P37" s="121">
        <f t="shared" si="23"/>
        <v>0.18363756256867347</v>
      </c>
      <c r="Q37" s="120">
        <f t="shared" ref="Q37:R40" si="25">Q17+Q27</f>
        <v>0.96473231532377213</v>
      </c>
      <c r="R37" s="121">
        <f t="shared" si="25"/>
        <v>4.010988695600048</v>
      </c>
      <c r="S37" s="120">
        <f t="shared" si="24"/>
        <v>5.7391826066139018E-2</v>
      </c>
      <c r="T37" s="121">
        <f t="shared" si="24"/>
        <v>0.20563795485160385</v>
      </c>
      <c r="U37" s="120">
        <f t="shared" si="21"/>
        <v>0</v>
      </c>
      <c r="V37" s="121">
        <f t="shared" si="21"/>
        <v>0</v>
      </c>
      <c r="W37" s="120"/>
      <c r="X37" s="121"/>
      <c r="Y37" s="120">
        <f t="shared" si="13"/>
        <v>0</v>
      </c>
      <c r="Z37" s="121">
        <f t="shared" si="13"/>
        <v>0</v>
      </c>
      <c r="AA37" s="120">
        <f t="shared" si="13"/>
        <v>0</v>
      </c>
      <c r="AB37" s="121">
        <f t="shared" si="13"/>
        <v>0</v>
      </c>
      <c r="AC37" s="120">
        <f t="shared" si="16"/>
        <v>4.9046278954932472</v>
      </c>
      <c r="AD37" s="121">
        <f t="shared" si="17"/>
        <v>16.688416031599921</v>
      </c>
      <c r="AE37" s="120">
        <f t="shared" si="14"/>
        <v>2.0694961082117516</v>
      </c>
      <c r="AF37" s="121">
        <f t="shared" si="14"/>
        <v>9.1182363527059351</v>
      </c>
    </row>
    <row r="38" spans="1:36" ht="13.4" customHeight="1" x14ac:dyDescent="0.3">
      <c r="C38" s="983"/>
      <c r="D38" s="33" t="s">
        <v>7</v>
      </c>
      <c r="E38" s="120">
        <f t="shared" si="18"/>
        <v>0</v>
      </c>
      <c r="F38" s="121">
        <f t="shared" si="22"/>
        <v>2.5522467193299292</v>
      </c>
      <c r="G38" s="120">
        <f t="shared" si="22"/>
        <v>2.8587488868702096</v>
      </c>
      <c r="H38" s="121">
        <f t="shared" si="20"/>
        <v>2.1219102529020546</v>
      </c>
      <c r="I38" s="234">
        <f>I18+I28</f>
        <v>5.3994031390926409</v>
      </c>
      <c r="J38" s="234">
        <f t="shared" si="20"/>
        <v>4.2577756414958117</v>
      </c>
      <c r="K38" s="120">
        <f t="shared" si="23"/>
        <v>25.731302272808364</v>
      </c>
      <c r="L38" s="121">
        <f t="shared" si="23"/>
        <v>9.3872194389354462</v>
      </c>
      <c r="M38" s="120">
        <f t="shared" si="23"/>
        <v>1.1901215251028248</v>
      </c>
      <c r="N38" s="121">
        <f t="shared" si="23"/>
        <v>2.880702665695253</v>
      </c>
      <c r="O38" s="120">
        <f t="shared" si="23"/>
        <v>1.0761420443573542</v>
      </c>
      <c r="P38" s="121">
        <f t="shared" si="23"/>
        <v>1.8632291367224525</v>
      </c>
      <c r="Q38" s="120">
        <f t="shared" si="25"/>
        <v>7.0905931003566138</v>
      </c>
      <c r="R38" s="121">
        <f t="shared" si="25"/>
        <v>5.128022108867043</v>
      </c>
      <c r="S38" s="120">
        <f t="shared" si="24"/>
        <v>0.47567207994184368</v>
      </c>
      <c r="T38" s="121">
        <f t="shared" si="24"/>
        <v>0.41681063307456201</v>
      </c>
      <c r="U38" s="120">
        <f t="shared" si="21"/>
        <v>0</v>
      </c>
      <c r="V38" s="121">
        <f t="shared" si="21"/>
        <v>0</v>
      </c>
      <c r="W38" s="120"/>
      <c r="X38" s="121"/>
      <c r="Y38" s="120">
        <f t="shared" si="13"/>
        <v>0</v>
      </c>
      <c r="Z38" s="121">
        <f t="shared" si="13"/>
        <v>0</v>
      </c>
      <c r="AA38" s="120">
        <f t="shared" si="13"/>
        <v>0</v>
      </c>
      <c r="AB38" s="121">
        <f t="shared" si="13"/>
        <v>0</v>
      </c>
      <c r="AC38" s="120">
        <f t="shared" si="16"/>
        <v>43.821983048529852</v>
      </c>
      <c r="AD38" s="121">
        <f t="shared" si="17"/>
        <v>28.607916597022552</v>
      </c>
      <c r="AE38" s="120">
        <f t="shared" si="14"/>
        <v>20.84547679321804</v>
      </c>
      <c r="AF38" s="121">
        <f t="shared" si="14"/>
        <v>27.563323085980301</v>
      </c>
    </row>
    <row r="39" spans="1:36" ht="13.4" customHeight="1" x14ac:dyDescent="0.3">
      <c r="C39" s="983"/>
      <c r="D39" s="33" t="s">
        <v>8</v>
      </c>
      <c r="E39" s="120">
        <f t="shared" si="18"/>
        <v>0</v>
      </c>
      <c r="F39" s="121">
        <f t="shared" si="22"/>
        <v>1.5960574133208638</v>
      </c>
      <c r="G39" s="120">
        <f t="shared" si="22"/>
        <v>4.4013783974283882</v>
      </c>
      <c r="H39" s="121">
        <f t="shared" si="20"/>
        <v>2.1877988337281096</v>
      </c>
      <c r="I39" s="234">
        <f>I19+I29</f>
        <v>7.3085716678416475</v>
      </c>
      <c r="J39" s="234">
        <f t="shared" si="20"/>
        <v>3.327879960265669</v>
      </c>
      <c r="K39" s="120">
        <f t="shared" si="23"/>
        <v>23.497186096755883</v>
      </c>
      <c r="L39" s="121">
        <f t="shared" si="23"/>
        <v>6.3668664838251772</v>
      </c>
      <c r="M39" s="120">
        <f t="shared" si="23"/>
        <v>1.1145160721007414</v>
      </c>
      <c r="N39" s="121">
        <f t="shared" si="23"/>
        <v>1.8912119881593981</v>
      </c>
      <c r="O39" s="120">
        <f t="shared" si="23"/>
        <v>5.3328815288208773</v>
      </c>
      <c r="P39" s="121">
        <f t="shared" si="23"/>
        <v>6.4587300988858942</v>
      </c>
      <c r="Q39" s="120">
        <f t="shared" si="25"/>
        <v>5.12253724905338</v>
      </c>
      <c r="R39" s="121">
        <f t="shared" si="25"/>
        <v>2.1074450174693311</v>
      </c>
      <c r="S39" s="120">
        <f t="shared" si="24"/>
        <v>0.56765184982360051</v>
      </c>
      <c r="T39" s="121">
        <f t="shared" si="24"/>
        <v>0.26363880359187064</v>
      </c>
      <c r="U39" s="120">
        <f t="shared" si="21"/>
        <v>0</v>
      </c>
      <c r="V39" s="121">
        <f t="shared" si="21"/>
        <v>0</v>
      </c>
      <c r="W39" s="120"/>
      <c r="X39" s="121"/>
      <c r="Y39" s="120">
        <f t="shared" si="13"/>
        <v>0</v>
      </c>
      <c r="Z39" s="121">
        <f t="shared" si="13"/>
        <v>0</v>
      </c>
      <c r="AA39" s="120">
        <f t="shared" si="13"/>
        <v>0</v>
      </c>
      <c r="AB39" s="121">
        <f t="shared" si="13"/>
        <v>0</v>
      </c>
      <c r="AC39" s="120">
        <f t="shared" si="16"/>
        <v>47.344722861824515</v>
      </c>
      <c r="AD39" s="121">
        <f t="shared" si="17"/>
        <v>24.199628599246314</v>
      </c>
      <c r="AE39" s="120">
        <f t="shared" si="14"/>
        <v>52.239394187823564</v>
      </c>
      <c r="AF39" s="121">
        <f t="shared" si="14"/>
        <v>42.821062068778701</v>
      </c>
    </row>
    <row r="40" spans="1:36" ht="13.4" customHeight="1" x14ac:dyDescent="0.3">
      <c r="C40" s="983"/>
      <c r="D40" s="34" t="s">
        <v>9</v>
      </c>
      <c r="E40" s="120">
        <f t="shared" si="18"/>
        <v>0</v>
      </c>
      <c r="F40" s="121">
        <f t="shared" si="22"/>
        <v>0.48485357791090422</v>
      </c>
      <c r="G40" s="120">
        <f t="shared" si="22"/>
        <v>1.8044398692342156</v>
      </c>
      <c r="H40" s="121">
        <f t="shared" si="20"/>
        <v>0.84337206142780019</v>
      </c>
      <c r="I40" s="234">
        <f>I20+I30</f>
        <v>4.1677897214627606</v>
      </c>
      <c r="J40" s="234">
        <f t="shared" si="20"/>
        <v>5.8275029531648386</v>
      </c>
      <c r="K40" s="120">
        <f>K20++K30</f>
        <v>10.760670645266671</v>
      </c>
      <c r="L40" s="121">
        <f>L20++L30</f>
        <v>9.6071313549095407</v>
      </c>
      <c r="M40" s="120">
        <f>M20++M30</f>
        <v>0.46401853351083844</v>
      </c>
      <c r="N40" s="121">
        <f>N20++N30</f>
        <v>0.63252232384419926</v>
      </c>
      <c r="O40" s="120">
        <f>O20+O30</f>
        <v>12.396388275374875</v>
      </c>
      <c r="P40" s="121">
        <f>P20++P30</f>
        <v>12.637433958753718</v>
      </c>
      <c r="Q40" s="120">
        <f t="shared" si="25"/>
        <v>1.6855198152428557</v>
      </c>
      <c r="R40" s="121">
        <f t="shared" si="25"/>
        <v>1.5537977823965718</v>
      </c>
      <c r="S40" s="120">
        <f t="shared" si="24"/>
        <v>0.4096733034270823</v>
      </c>
      <c r="T40" s="121">
        <f t="shared" si="24"/>
        <v>0.74951678405387501</v>
      </c>
      <c r="U40" s="120">
        <f t="shared" si="21"/>
        <v>0</v>
      </c>
      <c r="V40" s="121">
        <f t="shared" si="21"/>
        <v>0</v>
      </c>
      <c r="W40" s="120"/>
      <c r="X40" s="121"/>
      <c r="Y40" s="120">
        <f t="shared" si="13"/>
        <v>0</v>
      </c>
      <c r="Z40" s="121">
        <f t="shared" si="13"/>
        <v>0</v>
      </c>
      <c r="AA40" s="120">
        <f t="shared" si="13"/>
        <v>0</v>
      </c>
      <c r="AB40" s="121">
        <f t="shared" si="13"/>
        <v>0</v>
      </c>
      <c r="AC40" s="220">
        <f t="shared" si="16"/>
        <v>31.688500163519301</v>
      </c>
      <c r="AD40" s="221">
        <f t="shared" si="17"/>
        <v>32.336130796461447</v>
      </c>
      <c r="AE40" s="220">
        <f t="shared" si="14"/>
        <v>46.895242861506631</v>
      </c>
      <c r="AF40" s="221">
        <f t="shared" si="14"/>
        <v>32.629497112549871</v>
      </c>
    </row>
    <row r="41" spans="1:36" ht="13.4" customHeight="1" x14ac:dyDescent="0.3">
      <c r="C41" s="983"/>
      <c r="D41" s="955" t="s">
        <v>72</v>
      </c>
      <c r="E41" s="395">
        <f>SUM(E33:E40)</f>
        <v>0</v>
      </c>
      <c r="F41" s="125">
        <f t="shared" ref="F41:AF41" si="26">SUM(F33:F40)</f>
        <v>7.2765321334091473</v>
      </c>
      <c r="G41" s="224">
        <f t="shared" si="26"/>
        <v>9.4228483103037419</v>
      </c>
      <c r="H41" s="125">
        <f t="shared" si="26"/>
        <v>6.1031898884982931</v>
      </c>
      <c r="I41" s="125">
        <f t="shared" si="26"/>
        <v>17.770347707106509</v>
      </c>
      <c r="J41" s="125">
        <f t="shared" si="26"/>
        <v>29.369504135225412</v>
      </c>
      <c r="K41" s="224">
        <f t="shared" si="26"/>
        <v>64.224417722869433</v>
      </c>
      <c r="L41" s="125">
        <f t="shared" si="26"/>
        <v>41.590517397106964</v>
      </c>
      <c r="M41" s="224">
        <f t="shared" si="26"/>
        <v>4.4561537408133489</v>
      </c>
      <c r="N41" s="125">
        <f t="shared" si="26"/>
        <v>12.531989842867887</v>
      </c>
      <c r="O41" s="224">
        <f t="shared" si="26"/>
        <v>18.830094158573658</v>
      </c>
      <c r="P41" s="125">
        <f t="shared" si="26"/>
        <v>21.144256306906364</v>
      </c>
      <c r="Q41" s="224">
        <f t="shared" si="26"/>
        <v>15.850722613322077</v>
      </c>
      <c r="R41" s="125">
        <f t="shared" si="26"/>
        <v>33.508715199361859</v>
      </c>
      <c r="S41" s="224">
        <f t="shared" si="26"/>
        <v>1.5390366388935326</v>
      </c>
      <c r="T41" s="235">
        <f t="shared" si="26"/>
        <v>2.3384527572231661</v>
      </c>
      <c r="U41" s="224">
        <f t="shared" si="26"/>
        <v>0</v>
      </c>
      <c r="V41" s="125">
        <f t="shared" si="26"/>
        <v>0</v>
      </c>
      <c r="W41" s="125">
        <f t="shared" si="26"/>
        <v>0</v>
      </c>
      <c r="X41" s="125">
        <f t="shared" si="26"/>
        <v>0</v>
      </c>
      <c r="Y41" s="224">
        <f t="shared" si="26"/>
        <v>0</v>
      </c>
      <c r="Z41" s="125">
        <f t="shared" si="26"/>
        <v>0</v>
      </c>
      <c r="AA41" s="224">
        <f t="shared" si="26"/>
        <v>0</v>
      </c>
      <c r="AB41" s="125">
        <f t="shared" si="26"/>
        <v>0</v>
      </c>
      <c r="AC41" s="223">
        <f t="shared" si="26"/>
        <v>132.0936208918823</v>
      </c>
      <c r="AD41" s="224">
        <f t="shared" si="26"/>
        <v>153.86315766059909</v>
      </c>
      <c r="AE41" s="224">
        <f t="shared" si="26"/>
        <v>129.63718074518783</v>
      </c>
      <c r="AF41" s="235">
        <f t="shared" si="26"/>
        <v>118.79197393288496</v>
      </c>
      <c r="AG41" s="232">
        <f>AD41+AC41</f>
        <v>285.95677855248141</v>
      </c>
      <c r="AI41" s="567">
        <f>AG41-(AA41+AB41)-(U41+V41)</f>
        <v>285.95677855248141</v>
      </c>
      <c r="AJ41" s="567">
        <f>AE41+AF41</f>
        <v>248.42915467807279</v>
      </c>
    </row>
    <row r="42" spans="1:36" ht="13.4" customHeight="1" thickBot="1" x14ac:dyDescent="0.4">
      <c r="C42" s="990"/>
      <c r="D42" s="958"/>
      <c r="E42" s="961">
        <f>'Breast cancer'!AS20</f>
        <v>4.0561953764448706E-4</v>
      </c>
      <c r="F42" s="962"/>
      <c r="G42" s="961">
        <f>'Colon Cancer'!AS20</f>
        <v>5.7694006914455463E-4</v>
      </c>
      <c r="H42" s="962"/>
      <c r="I42" s="961">
        <f>Stroke_air!AT20</f>
        <v>1.4401069464816641E-3</v>
      </c>
      <c r="J42" s="962"/>
      <c r="K42" s="961">
        <f>CVD_air!AT20</f>
        <v>1.2102967020485079E-3</v>
      </c>
      <c r="L42" s="962"/>
      <c r="M42" s="961">
        <f>Depression!AS20</f>
        <v>4.2350777396155429E-4</v>
      </c>
      <c r="N42" s="962"/>
      <c r="O42" s="961">
        <f>Dementia!AS20</f>
        <v>1.1528625824952924E-3</v>
      </c>
      <c r="P42" s="962"/>
      <c r="Q42" s="961">
        <f>Diabetes!AS20</f>
        <v>1.659019639262147E-3</v>
      </c>
      <c r="R42" s="962"/>
      <c r="S42" s="961">
        <f>HHD_air!AT20</f>
        <v>1.2074952404504513E-3</v>
      </c>
      <c r="T42" s="962"/>
      <c r="U42" s="961">
        <f>'Lung Cancer'!O21</f>
        <v>0</v>
      </c>
      <c r="V42" s="962"/>
      <c r="W42" s="961">
        <f>'Acute Resp Infect'!K20</f>
        <v>0</v>
      </c>
      <c r="X42" s="962"/>
      <c r="Y42" s="961">
        <f>'Inflammatory HD'!O21</f>
        <v>0</v>
      </c>
      <c r="Z42" s="962"/>
      <c r="AA42" s="961">
        <f>'Resp diseases'!O21</f>
        <v>0</v>
      </c>
      <c r="AB42" s="962"/>
      <c r="AC42" s="963">
        <f>(AC41+AD41)/GBDNZ!H236</f>
        <v>2.6171327663615724E-4</v>
      </c>
      <c r="AD42" s="964"/>
      <c r="AE42" s="963">
        <f>(AE41+AF41)/GBDNZ!H236</f>
        <v>2.2736725603032562E-4</v>
      </c>
      <c r="AF42" s="964"/>
      <c r="AG42" s="624"/>
    </row>
    <row r="43" spans="1:36" x14ac:dyDescent="0.25">
      <c r="F43" s="232">
        <f>F41</f>
        <v>7.2765321334091473</v>
      </c>
      <c r="G43" s="232">
        <f>G41+H41</f>
        <v>15.526038198802034</v>
      </c>
      <c r="H43" s="232"/>
      <c r="I43" s="232">
        <f>I41+J41</f>
        <v>47.139851842331922</v>
      </c>
      <c r="J43" s="232"/>
      <c r="K43" s="232">
        <f t="shared" ref="K43:Y43" si="27">K41+L41</f>
        <v>105.8149351199764</v>
      </c>
      <c r="L43" s="232"/>
      <c r="M43" s="232">
        <f t="shared" si="27"/>
        <v>16.988143583681236</v>
      </c>
      <c r="N43" s="232"/>
      <c r="O43" s="232">
        <f t="shared" si="27"/>
        <v>39.974350465480022</v>
      </c>
      <c r="P43" s="232"/>
      <c r="Q43" s="232">
        <f t="shared" si="27"/>
        <v>49.359437812683936</v>
      </c>
      <c r="R43" s="232"/>
      <c r="U43" s="232">
        <f t="shared" si="27"/>
        <v>0</v>
      </c>
      <c r="W43" s="232">
        <f t="shared" si="27"/>
        <v>0</v>
      </c>
      <c r="Y43" s="232">
        <f t="shared" si="27"/>
        <v>0</v>
      </c>
      <c r="AG43" s="232"/>
    </row>
    <row r="44" spans="1:36" s="322" customFormat="1" ht="13" thickBot="1" x14ac:dyDescent="0.3">
      <c r="A44" s="545"/>
      <c r="B44" s="545"/>
      <c r="E44" s="263"/>
      <c r="F44" s="232"/>
      <c r="G44" s="232"/>
      <c r="H44" s="232"/>
      <c r="I44" s="232"/>
      <c r="J44" s="232"/>
      <c r="K44" s="232"/>
      <c r="L44" s="232"/>
      <c r="M44" s="232"/>
      <c r="N44" s="232"/>
      <c r="O44" s="232"/>
      <c r="P44" s="232"/>
      <c r="Q44" s="232"/>
      <c r="R44" s="232"/>
      <c r="U44" s="232"/>
      <c r="W44" s="232"/>
      <c r="Y44" s="232"/>
    </row>
    <row r="45" spans="1:36" s="545" customFormat="1" ht="15.75" customHeight="1" x14ac:dyDescent="0.35">
      <c r="A45" s="1005" t="s">
        <v>346</v>
      </c>
      <c r="B45" s="1006"/>
      <c r="C45" s="999" t="s">
        <v>345</v>
      </c>
      <c r="D45" s="1000"/>
      <c r="E45" s="976" t="s">
        <v>71</v>
      </c>
      <c r="F45" s="977"/>
      <c r="G45" s="979" t="s">
        <v>69</v>
      </c>
      <c r="H45" s="980"/>
      <c r="I45" s="976" t="s">
        <v>146</v>
      </c>
      <c r="J45" s="977"/>
      <c r="K45" s="979" t="s">
        <v>148</v>
      </c>
      <c r="L45" s="980"/>
      <c r="M45" s="979" t="s">
        <v>29</v>
      </c>
      <c r="N45" s="980"/>
      <c r="O45" s="979" t="s">
        <v>31</v>
      </c>
      <c r="P45" s="980"/>
      <c r="Q45" s="979" t="s">
        <v>32</v>
      </c>
      <c r="R45" s="980"/>
      <c r="S45" s="976" t="s">
        <v>172</v>
      </c>
      <c r="T45" s="977"/>
      <c r="U45" s="979" t="s">
        <v>139</v>
      </c>
      <c r="V45" s="980"/>
      <c r="W45" s="976" t="s">
        <v>143</v>
      </c>
      <c r="X45" s="977"/>
      <c r="Y45" s="976" t="s">
        <v>144</v>
      </c>
      <c r="Z45" s="977"/>
      <c r="AA45" s="976" t="s">
        <v>145</v>
      </c>
      <c r="AB45" s="977"/>
      <c r="AC45" s="976" t="s">
        <v>70</v>
      </c>
      <c r="AD45" s="977"/>
      <c r="AE45" s="976" t="s">
        <v>154</v>
      </c>
      <c r="AF45" s="977"/>
      <c r="AG45" s="640" t="s">
        <v>68</v>
      </c>
    </row>
    <row r="46" spans="1:36" s="545" customFormat="1" ht="29.25" customHeight="1" thickBot="1" x14ac:dyDescent="0.35">
      <c r="A46" s="1007"/>
      <c r="B46" s="1008"/>
      <c r="C46" s="778" t="s">
        <v>25</v>
      </c>
      <c r="D46" s="778" t="s">
        <v>26</v>
      </c>
      <c r="E46" s="779" t="s">
        <v>25</v>
      </c>
      <c r="F46" s="780" t="s">
        <v>26</v>
      </c>
      <c r="G46" s="590" t="s">
        <v>25</v>
      </c>
      <c r="H46" s="590" t="s">
        <v>26</v>
      </c>
      <c r="I46" s="590" t="s">
        <v>25</v>
      </c>
      <c r="J46" s="590" t="s">
        <v>26</v>
      </c>
      <c r="K46" s="590" t="s">
        <v>25</v>
      </c>
      <c r="L46" s="590" t="s">
        <v>26</v>
      </c>
      <c r="M46" s="590" t="s">
        <v>25</v>
      </c>
      <c r="N46" s="590" t="s">
        <v>26</v>
      </c>
      <c r="O46" s="590" t="s">
        <v>25</v>
      </c>
      <c r="P46" s="590" t="s">
        <v>26</v>
      </c>
      <c r="Q46" s="590" t="s">
        <v>25</v>
      </c>
      <c r="R46" s="590" t="s">
        <v>26</v>
      </c>
      <c r="S46" s="590" t="s">
        <v>25</v>
      </c>
      <c r="T46" s="590" t="s">
        <v>26</v>
      </c>
      <c r="U46" s="590" t="s">
        <v>25</v>
      </c>
      <c r="V46" s="590" t="s">
        <v>26</v>
      </c>
      <c r="W46" s="590" t="s">
        <v>25</v>
      </c>
      <c r="X46" s="590" t="s">
        <v>26</v>
      </c>
      <c r="Y46" s="590" t="s">
        <v>25</v>
      </c>
      <c r="Z46" s="590" t="s">
        <v>26</v>
      </c>
      <c r="AA46" s="590" t="s">
        <v>25</v>
      </c>
      <c r="AB46" s="590" t="s">
        <v>26</v>
      </c>
      <c r="AC46" s="590" t="s">
        <v>25</v>
      </c>
      <c r="AD46" s="590" t="s">
        <v>26</v>
      </c>
      <c r="AE46" s="590" t="s">
        <v>25</v>
      </c>
      <c r="AF46" s="590" t="s">
        <v>26</v>
      </c>
      <c r="AG46" s="256" t="s">
        <v>164</v>
      </c>
    </row>
    <row r="47" spans="1:36" s="545" customFormat="1" ht="12.75" customHeight="1" x14ac:dyDescent="0.3">
      <c r="A47" s="982" t="s">
        <v>78</v>
      </c>
      <c r="B47" s="225" t="s">
        <v>2</v>
      </c>
      <c r="C47" s="620">
        <f>(IF(('user page'!$Y$1=0),'user page'!$C$33,IF(('user page'!$Y$1=1),'user page'!$E$33,IF(('user page'!$Y$1=2),'user page'!$G$33,IF(('user page'!$Y$1=3),'user page'!$I$33,IF(('user page'!$Y$1=4),'user page'!$K$33,IF(('user page'!$Y$1=5),'user page'!$M$33,IF(('user page'!$Y$1=6),'user page'!$C$33,""))))))))*Scenario!B6</f>
        <v>162986.24008104001</v>
      </c>
      <c r="D47" s="622">
        <f>(IF(('user page'!$Y$1=0),'user page'!$C$33,IF(('user page'!$Y$1=1),'user page'!$E$33,IF(('user page'!$Y$1=2),'user page'!$G$33,IF(('user page'!$Y$1=3),'user page'!$I$33,IF(('user page'!$Y$1=4),'user page'!$K$33,IF(('user page'!$Y$1=5),'user page'!$M$33,IF(('user page'!$Y$1=6),'user page'!$C$33,""))))))))*Scenario!C6</f>
        <v>154486.95762282627</v>
      </c>
      <c r="E47" s="776">
        <f>C47*E3/GBDNZ!D3</f>
        <v>0</v>
      </c>
      <c r="F47" s="581">
        <f>D47*F3/GBDNZ!D11</f>
        <v>0</v>
      </c>
      <c r="G47" s="582">
        <f>C47*G3/GBDNZ!D3</f>
        <v>0</v>
      </c>
      <c r="H47" s="581">
        <f>D47*H3/GBDNZ!D11</f>
        <v>0</v>
      </c>
      <c r="I47" s="582">
        <f>C47*I3/GBDNZ!D3</f>
        <v>0</v>
      </c>
      <c r="J47" s="585">
        <f>D47*J3/GBDNZ!D11</f>
        <v>0</v>
      </c>
      <c r="K47" s="581">
        <f>C47*K3/GBDNZ!D3</f>
        <v>0</v>
      </c>
      <c r="L47" s="581">
        <f>D47*L3/GBDNZ!D11</f>
        <v>0</v>
      </c>
      <c r="M47" s="578">
        <f>C47*M3/GBDNZ!D3</f>
        <v>0</v>
      </c>
      <c r="N47" s="576">
        <f>D47*N3/GBDNZ!D11</f>
        <v>0</v>
      </c>
      <c r="O47" s="581">
        <f>C47*O3/GBDNZ!D3</f>
        <v>0</v>
      </c>
      <c r="P47" s="581">
        <f>D47*P3/GBDNZ!D11</f>
        <v>0</v>
      </c>
      <c r="Q47" s="582">
        <f>C47*Q3/GBDNZ!D3</f>
        <v>0</v>
      </c>
      <c r="R47" s="581">
        <f>D47*R3/GBDNZ!D11</f>
        <v>0</v>
      </c>
      <c r="S47" s="582">
        <f>C47*S3/GBDNZ!D3</f>
        <v>0</v>
      </c>
      <c r="T47" s="581">
        <f>D47*T3/GBDNZ!D11</f>
        <v>0</v>
      </c>
      <c r="U47" s="582">
        <f>C47*U3/GBDNZ!D3</f>
        <v>0</v>
      </c>
      <c r="V47" s="581">
        <f>D47*V3/GBDNZ!D11</f>
        <v>0</v>
      </c>
      <c r="W47" s="582">
        <f>C47*W3/GBDNZ!D3</f>
        <v>0</v>
      </c>
      <c r="X47" s="581">
        <f>D47*X3/GBDNZ!D11</f>
        <v>0</v>
      </c>
      <c r="Y47" s="582">
        <f>C47*Y3/GBDNZ!D3</f>
        <v>0</v>
      </c>
      <c r="Z47" s="581">
        <f>D47*Z3/GBDNZ!D11</f>
        <v>0</v>
      </c>
      <c r="AA47" s="582">
        <f>C47*AA3/GBDNZ!D3</f>
        <v>0</v>
      </c>
      <c r="AB47" s="581">
        <f>D47*AB3/GBDNZ!D11</f>
        <v>0</v>
      </c>
      <c r="AC47" s="582">
        <f>C47*AC3/GBDNZ!D3</f>
        <v>0</v>
      </c>
      <c r="AD47" s="581">
        <f>D47*AD3/GBDNZ!D11</f>
        <v>0</v>
      </c>
      <c r="AE47" s="582">
        <f>C47*AE3/GBDNZ!D3</f>
        <v>0</v>
      </c>
      <c r="AF47" s="585">
        <f>D47*AF3/GBDNZ!D11</f>
        <v>0</v>
      </c>
    </row>
    <row r="48" spans="1:36" s="545" customFormat="1" ht="12.75" customHeight="1" x14ac:dyDescent="0.3">
      <c r="A48" s="983"/>
      <c r="B48" s="33" t="s">
        <v>3</v>
      </c>
      <c r="C48" s="620">
        <f>(IF(('user page'!$Y$1=0),'user page'!$C$33,IF(('user page'!$Y$1=1),'user page'!$E$33,IF(('user page'!$Y$1=2),'user page'!$G$33,IF(('user page'!$Y$1=3),'user page'!$I$33,IF(('user page'!$Y$1=4),'user page'!$K$33,IF(('user page'!$Y$1=5),'user page'!$M$33,IF(('user page'!$Y$1=6),'user page'!$C$33,""))))))))*Scenario!B7</f>
        <v>334871.72885362146</v>
      </c>
      <c r="D48" s="622">
        <f>(IF(('user page'!$Y$1=0),'user page'!$C$33,IF(('user page'!$Y$1=1),'user page'!$E$33,IF(('user page'!$Y$1=2),'user page'!$G$33,IF(('user page'!$Y$1=3),'user page'!$I$33,IF(('user page'!$Y$1=4),'user page'!$K$33,IF(('user page'!$Y$1=5),'user page'!$M$33,IF(('user page'!$Y$1=6),'user page'!$C$33,""))))))))*Scenario!C7</f>
        <v>316473.28212054702</v>
      </c>
      <c r="E48" s="776">
        <f>C48*E4/GBDNZ!D4</f>
        <v>0</v>
      </c>
      <c r="F48" s="581">
        <f>D48*F4/GBDNZ!D12</f>
        <v>0</v>
      </c>
      <c r="G48" s="582">
        <f>C48*G4/GBDNZ!D4</f>
        <v>0</v>
      </c>
      <c r="H48" s="581">
        <f>D48*H4/GBDNZ!D12</f>
        <v>0</v>
      </c>
      <c r="I48" s="582">
        <f>C48*I4/GBDNZ!D4</f>
        <v>0</v>
      </c>
      <c r="J48" s="585">
        <f>D48*J4/GBDNZ!D12</f>
        <v>0</v>
      </c>
      <c r="K48" s="581">
        <f>C48*K4/GBDNZ!D4</f>
        <v>0</v>
      </c>
      <c r="L48" s="581">
        <f>D48*L4/GBDNZ!D12</f>
        <v>0</v>
      </c>
      <c r="M48" s="578">
        <f>C48*M4/GBDNZ!D4</f>
        <v>0</v>
      </c>
      <c r="N48" s="576">
        <f>D48*N4/GBDNZ!D12</f>
        <v>0</v>
      </c>
      <c r="O48" s="581">
        <f>C48*O4/GBDNZ!D4</f>
        <v>0</v>
      </c>
      <c r="P48" s="581">
        <f>D48*P4/GBDNZ!D12</f>
        <v>0</v>
      </c>
      <c r="Q48" s="582">
        <f>C48*Q4/GBDNZ!D4</f>
        <v>0</v>
      </c>
      <c r="R48" s="581">
        <f>D48*R4/GBDNZ!D12</f>
        <v>0</v>
      </c>
      <c r="S48" s="582">
        <f>C48*S4/GBDNZ!D4</f>
        <v>0</v>
      </c>
      <c r="T48" s="581">
        <f>D48*T4/GBDNZ!D12</f>
        <v>0</v>
      </c>
      <c r="U48" s="582">
        <f>C48*U4/GBDNZ!D4</f>
        <v>0</v>
      </c>
      <c r="V48" s="581">
        <f>D48*V4/GBDNZ!D12</f>
        <v>0</v>
      </c>
      <c r="W48" s="582">
        <f>C48*W4/GBDNZ!D4</f>
        <v>0</v>
      </c>
      <c r="X48" s="581">
        <f>D48*X4/GBDNZ!D12</f>
        <v>0</v>
      </c>
      <c r="Y48" s="582">
        <f>C48*Y4/GBDNZ!D4</f>
        <v>0</v>
      </c>
      <c r="Z48" s="581">
        <f>D48*Z4/GBDNZ!D12</f>
        <v>0</v>
      </c>
      <c r="AA48" s="582">
        <f>C48*AA4/GBDNZ!D4</f>
        <v>0</v>
      </c>
      <c r="AB48" s="581">
        <f>D48*AB4/GBDNZ!D12</f>
        <v>0</v>
      </c>
      <c r="AC48" s="582">
        <f>C48*AC4/GBDNZ!D4</f>
        <v>0</v>
      </c>
      <c r="AD48" s="581">
        <f>D48*AD4/GBDNZ!D12</f>
        <v>0</v>
      </c>
      <c r="AE48" s="582">
        <f>C48*AE4/GBDNZ!D4</f>
        <v>0</v>
      </c>
      <c r="AF48" s="585">
        <f>D48*AF4/GBDNZ!D12</f>
        <v>0</v>
      </c>
    </row>
    <row r="49" spans="1:35" s="545" customFormat="1" ht="12.75" customHeight="1" x14ac:dyDescent="0.3">
      <c r="A49" s="983"/>
      <c r="B49" s="33" t="s">
        <v>4</v>
      </c>
      <c r="C49" s="620">
        <f>(IF(('user page'!$Y$1=0),'user page'!$C$33,IF(('user page'!$Y$1=1),'user page'!$E$33,IF(('user page'!$Y$1=2),'user page'!$G$33,IF(('user page'!$Y$1=3),'user page'!$I$33,IF(('user page'!$Y$1=4),'user page'!$K$33,IF(('user page'!$Y$1=5),'user page'!$M$33,IF(('user page'!$Y$1=6),'user page'!$C$33,""))))))))*Scenario!B8</f>
        <v>547453.7818672969</v>
      </c>
      <c r="D49" s="622">
        <f>(IF(('user page'!$Y$1=0),'user page'!$C$33,IF(('user page'!$Y$1=1),'user page'!$E$33,IF(('user page'!$Y$1=2),'user page'!$G$33,IF(('user page'!$Y$1=3),'user page'!$I$33,IF(('user page'!$Y$1=4),'user page'!$K$33,IF(('user page'!$Y$1=5),'user page'!$M$33,IF(('user page'!$Y$1=6),'user page'!$C$33,""))))))))*Scenario!C8</f>
        <v>503657.47931791324</v>
      </c>
      <c r="E49" s="776">
        <f>C49*E5/GBDNZ!D5</f>
        <v>0</v>
      </c>
      <c r="F49" s="581">
        <f>D49*F5/GBDNZ!D13</f>
        <v>8.9988829331176089E-4</v>
      </c>
      <c r="G49" s="582">
        <f>C49*G5/GBDNZ!D5</f>
        <v>8.1357483156125818E-4</v>
      </c>
      <c r="H49" s="581">
        <f>D49*H5/GBDNZ!D13</f>
        <v>5.0375863449570802E-4</v>
      </c>
      <c r="I49" s="582">
        <f>C49*I5/GBDNZ!D5</f>
        <v>2.9143368401395881E-3</v>
      </c>
      <c r="J49" s="585">
        <f>D49*J5/GBDNZ!D13</f>
        <v>3.4045929397008385E-3</v>
      </c>
      <c r="K49" s="581">
        <f>C49*K5/GBDNZ!D5</f>
        <v>5.5265607210311044E-3</v>
      </c>
      <c r="L49" s="581">
        <f>D49*L5/GBDNZ!D13</f>
        <v>2.4904727539181563E-3</v>
      </c>
      <c r="M49" s="578">
        <f>C49*M5/GBDNZ!D5</f>
        <v>0</v>
      </c>
      <c r="N49" s="576">
        <f>D49*N5/GBDNZ!D13</f>
        <v>0</v>
      </c>
      <c r="O49" s="581">
        <f>C49*O5/GBDNZ!D5</f>
        <v>0</v>
      </c>
      <c r="P49" s="581">
        <f>D49*P5/GBDNZ!D13</f>
        <v>0</v>
      </c>
      <c r="Q49" s="582">
        <f>C49*Q5/GBDNZ!D5</f>
        <v>2.0267355531362113E-3</v>
      </c>
      <c r="R49" s="581">
        <f>D49*R5/GBDNZ!D13</f>
        <v>1.303796940459726E-3</v>
      </c>
      <c r="S49" s="582">
        <f>C49*S5/GBDNZ!D5</f>
        <v>1.0861661122340788E-4</v>
      </c>
      <c r="T49" s="581">
        <f>D49*T5/GBDNZ!D13</f>
        <v>9.173457720343781E-5</v>
      </c>
      <c r="U49" s="582">
        <f>C49*U5/GBDNZ!D5</f>
        <v>0</v>
      </c>
      <c r="V49" s="581">
        <f>D49*V5/GBDNZ!D13</f>
        <v>0</v>
      </c>
      <c r="W49" s="582">
        <f>C49*W5/GBDNZ!D5</f>
        <v>0</v>
      </c>
      <c r="X49" s="581">
        <f>D49*X5/GBDNZ!D13</f>
        <v>0</v>
      </c>
      <c r="Y49" s="582">
        <f>C49*Y5/GBDNZ!D5</f>
        <v>0</v>
      </c>
      <c r="Z49" s="581">
        <f>D49*Z5/GBDNZ!D13</f>
        <v>0</v>
      </c>
      <c r="AA49" s="582">
        <f>C49*AA5/GBDNZ!D5</f>
        <v>0</v>
      </c>
      <c r="AB49" s="581">
        <f>D49*AB5/GBDNZ!D13</f>
        <v>0</v>
      </c>
      <c r="AC49" s="582">
        <f>C49*AC5/GBDNZ!D5</f>
        <v>1.1389824557091571E-2</v>
      </c>
      <c r="AD49" s="581">
        <f>D49*AD5/GBDNZ!D13</f>
        <v>8.6942441390896272E-3</v>
      </c>
      <c r="AE49" s="582">
        <f>C49*AE5/GBDNZ!D5</f>
        <v>0.104321827400777</v>
      </c>
      <c r="AF49" s="585">
        <f>D49*AF5/GBDNZ!D13</f>
        <v>5.8136894961412645E-2</v>
      </c>
    </row>
    <row r="50" spans="1:35" s="545" customFormat="1" ht="12.75" customHeight="1" x14ac:dyDescent="0.3">
      <c r="A50" s="983"/>
      <c r="B50" s="33" t="s">
        <v>5</v>
      </c>
      <c r="C50" s="620">
        <f>(IF(('user page'!$Y$1=0),'user page'!$C$33,IF(('user page'!$Y$1=1),'user page'!$E$33,IF(('user page'!$Y$1=2),'user page'!$G$33,IF(('user page'!$Y$1=3),'user page'!$I$33,IF(('user page'!$Y$1=4),'user page'!$K$33,IF(('user page'!$Y$1=5),'user page'!$M$33,IF(('user page'!$Y$1=6),'user page'!$C$33,""))))))))*Scenario!B9</f>
        <v>562852.48185041361</v>
      </c>
      <c r="D50" s="622">
        <f>(IF(('user page'!$Y$1=0),'user page'!$C$33,IF(('user page'!$Y$1=1),'user page'!$E$33,IF(('user page'!$Y$1=2),'user page'!$G$33,IF(('user page'!$Y$1=3),'user page'!$I$33,IF(('user page'!$Y$1=4),'user page'!$K$33,IF(('user page'!$Y$1=5),'user page'!$M$33,IF(('user page'!$Y$1=6),'user page'!$C$33,""))))))))*Scenario!C9</f>
        <v>528355.39422589901</v>
      </c>
      <c r="E50" s="776">
        <f>C50*E6/GBDNZ!D6</f>
        <v>0</v>
      </c>
      <c r="F50" s="581">
        <f>D50*F6/GBDNZ!D14</f>
        <v>1.5145518513979843E-2</v>
      </c>
      <c r="G50" s="582">
        <f>C50*G6/GBDNZ!D6</f>
        <v>2.4310612020137156E-3</v>
      </c>
      <c r="H50" s="581">
        <f>D50*H6/GBDNZ!D14</f>
        <v>3.9781731787295873E-3</v>
      </c>
      <c r="I50" s="582">
        <f>C50*I6/GBDNZ!D6</f>
        <v>5.7209892213177524E-3</v>
      </c>
      <c r="J50" s="585">
        <f>D50*J6/GBDNZ!D14</f>
        <v>0.28720201104088511</v>
      </c>
      <c r="K50" s="581">
        <f>C50*K6/GBDNZ!D6</f>
        <v>3.1602998972259398E-2</v>
      </c>
      <c r="L50" s="581">
        <f>D50*L6/GBDNZ!D14</f>
        <v>0.2920805231644627</v>
      </c>
      <c r="M50" s="578">
        <f>C50*M6/GBDNZ!D6</f>
        <v>0</v>
      </c>
      <c r="N50" s="576">
        <f>D50*N6/GBDNZ!D14</f>
        <v>0</v>
      </c>
      <c r="O50" s="581">
        <f>C50*O6/GBDNZ!D6</f>
        <v>7.8980562091775215E-7</v>
      </c>
      <c r="P50" s="581">
        <f>D50*P6/GBDNZ!D14</f>
        <v>3.9106825285888969E-6</v>
      </c>
      <c r="Q50" s="582">
        <f>C50*Q6/GBDNZ!D6</f>
        <v>3.2650408331263703E-3</v>
      </c>
      <c r="R50" s="581">
        <f>D50*R6/GBDNZ!D14</f>
        <v>7.6314687599669778E-2</v>
      </c>
      <c r="S50" s="582">
        <f>C50*S6/GBDNZ!D6</f>
        <v>6.1567369937160345E-4</v>
      </c>
      <c r="T50" s="581">
        <f>D50*T6/GBDNZ!D14</f>
        <v>1.6044773408142747E-2</v>
      </c>
      <c r="U50" s="582">
        <f>C50*U6/GBDNZ!D6</f>
        <v>0</v>
      </c>
      <c r="V50" s="581">
        <f>D50*V6/GBDNZ!D14</f>
        <v>0</v>
      </c>
      <c r="W50" s="582">
        <f>C50*W6/GBDNZ!D6</f>
        <v>0</v>
      </c>
      <c r="X50" s="581">
        <f>D50*X6/GBDNZ!D14</f>
        <v>0</v>
      </c>
      <c r="Y50" s="582">
        <f>C50*Y6/GBDNZ!D6</f>
        <v>0</v>
      </c>
      <c r="Z50" s="581">
        <f>D50*Z6/GBDNZ!D14</f>
        <v>0</v>
      </c>
      <c r="AA50" s="582">
        <f>C50*AA6/GBDNZ!D6</f>
        <v>0</v>
      </c>
      <c r="AB50" s="581">
        <f>D50*AB6/GBDNZ!D14</f>
        <v>0</v>
      </c>
      <c r="AC50" s="582">
        <f>C50*AC6/GBDNZ!D6</f>
        <v>4.3636553733709768E-2</v>
      </c>
      <c r="AD50" s="581">
        <f>D50*AD6/GBDNZ!D14</f>
        <v>0.6907695975883984</v>
      </c>
      <c r="AE50" s="582">
        <f>C50*AE6/GBDNZ!D6</f>
        <v>5.6825533847375327E-2</v>
      </c>
      <c r="AF50" s="585">
        <f>D50*AF6/GBDNZ!D14</f>
        <v>8.0507287317479359E-2</v>
      </c>
    </row>
    <row r="51" spans="1:35" s="545" customFormat="1" ht="12.75" customHeight="1" x14ac:dyDescent="0.3">
      <c r="A51" s="983"/>
      <c r="B51" s="33" t="s">
        <v>6</v>
      </c>
      <c r="C51" s="620">
        <f>(IF(('user page'!$Y$1=0),'user page'!$C$33,IF(('user page'!$Y$1=1),'user page'!$E$33,IF(('user page'!$Y$1=2),'user page'!$G$33,IF(('user page'!$Y$1=3),'user page'!$I$33,IF(('user page'!$Y$1=4),'user page'!$K$33,IF(('user page'!$Y$1=5),'user page'!$M$33,IF(('user page'!$Y$1=6),'user page'!$C$33,""))))))))*Scenario!B10</f>
        <v>579051.1143001857</v>
      </c>
      <c r="D51" s="622">
        <f>(IF(('user page'!$Y$1=0),'user page'!$C$33,IF(('user page'!$Y$1=1),'user page'!$E$33,IF(('user page'!$Y$1=2),'user page'!$G$33,IF(('user page'!$Y$1=3),'user page'!$I$33,IF(('user page'!$Y$1=4),'user page'!$K$33,IF(('user page'!$Y$1=5),'user page'!$M$33,IF(('user page'!$Y$1=6),'user page'!$C$33,""))))))))*Scenario!C10</f>
        <v>566752.15262535878</v>
      </c>
      <c r="E51" s="776">
        <f>C51*E7/GBDNZ!D7</f>
        <v>0</v>
      </c>
      <c r="F51" s="581">
        <f>D51*F7/GBDNZ!D15</f>
        <v>6.4229752917798449E-2</v>
      </c>
      <c r="G51" s="582">
        <f>C51*G7/GBDNZ!D7</f>
        <v>8.6681551725316369E-3</v>
      </c>
      <c r="H51" s="581">
        <f>D51*H7/GBDNZ!D15</f>
        <v>2.6073134447378531E-2</v>
      </c>
      <c r="I51" s="582">
        <f>C51*I7/GBDNZ!D7</f>
        <v>1.5423670111425774E-2</v>
      </c>
      <c r="J51" s="585">
        <f>D51*J7/GBDNZ!D15</f>
        <v>8.2642902077562475E-2</v>
      </c>
      <c r="K51" s="581">
        <f>C51*K7/GBDNZ!D7</f>
        <v>0.10860538914630172</v>
      </c>
      <c r="L51" s="581">
        <f>D51*L7/GBDNZ!D15</f>
        <v>0.13946174588184851</v>
      </c>
      <c r="M51" s="578">
        <f>C51*M7/GBDNZ!D7</f>
        <v>0</v>
      </c>
      <c r="N51" s="576">
        <f>D51*N7/GBDNZ!D15</f>
        <v>0</v>
      </c>
      <c r="O51" s="581">
        <f>C51*O7/GBDNZ!D7</f>
        <v>4.3805216770636092E-4</v>
      </c>
      <c r="P51" s="581">
        <f>D51*P7/GBDNZ!D15</f>
        <v>3.4909814571890984E-3</v>
      </c>
      <c r="Q51" s="582">
        <f>C51*Q7/GBDNZ!D7</f>
        <v>1.1989445526082294E-2</v>
      </c>
      <c r="R51" s="581">
        <f>D51*R7/GBDNZ!D15</f>
        <v>3.2382500220840653E-2</v>
      </c>
      <c r="S51" s="582">
        <f>C51*S7/GBDNZ!D7</f>
        <v>2.0524107407539358E-3</v>
      </c>
      <c r="T51" s="581">
        <f>D51*T7/GBDNZ!D15</f>
        <v>6.9331693745421676E-3</v>
      </c>
      <c r="U51" s="582">
        <f>C51*U7/GBDNZ!D7</f>
        <v>0</v>
      </c>
      <c r="V51" s="581">
        <f>D51*V7/GBDNZ!D15</f>
        <v>0</v>
      </c>
      <c r="W51" s="582">
        <f>C51*W7/GBDNZ!D7</f>
        <v>0</v>
      </c>
      <c r="X51" s="581">
        <f>D51*X7/GBDNZ!D15</f>
        <v>0</v>
      </c>
      <c r="Y51" s="582">
        <f>C51*Y7/GBDNZ!D7</f>
        <v>0</v>
      </c>
      <c r="Z51" s="581">
        <f>D51*Z7/GBDNZ!D15</f>
        <v>0</v>
      </c>
      <c r="AA51" s="582">
        <f>C51*AA7/GBDNZ!D7</f>
        <v>0</v>
      </c>
      <c r="AB51" s="581">
        <f>D51*AB7/GBDNZ!D15</f>
        <v>0</v>
      </c>
      <c r="AC51" s="582">
        <f>C51*AC7/GBDNZ!D7</f>
        <v>0.14717712286480172</v>
      </c>
      <c r="AD51" s="581">
        <f>D51*AD7/GBDNZ!D15</f>
        <v>0.3552141863771599</v>
      </c>
      <c r="AE51" s="582">
        <f>C51*AE7/GBDNZ!D7</f>
        <v>8.0774544702564011E-2</v>
      </c>
      <c r="AF51" s="585">
        <f>D51*AF7/GBDNZ!D15</f>
        <v>0.32522656846969367</v>
      </c>
    </row>
    <row r="52" spans="1:35" s="545" customFormat="1" ht="12.75" customHeight="1" x14ac:dyDescent="0.3">
      <c r="A52" s="983"/>
      <c r="B52" s="33" t="s">
        <v>7</v>
      </c>
      <c r="C52" s="620">
        <f>(IF(('user page'!$Y$1=0),'user page'!$C$33,IF(('user page'!$Y$1=1),'user page'!$E$33,IF(('user page'!$Y$1=2),'user page'!$G$33,IF(('user page'!$Y$1=3),'user page'!$I$33,IF(('user page'!$Y$1=4),'user page'!$K$33,IF(('user page'!$Y$1=5),'user page'!$M$33,IF(('user page'!$Y$1=6),'user page'!$C$33,""))))))))*Scenario!B11</f>
        <v>276876.62502110418</v>
      </c>
      <c r="D52" s="622">
        <f>(IF(('user page'!$Y$1=0),'user page'!$C$33,IF(('user page'!$Y$1=1),'user page'!$E$33,IF(('user page'!$Y$1=2),'user page'!$G$33,IF(('user page'!$Y$1=3),'user page'!$I$33,IF(('user page'!$Y$1=4),'user page'!$K$33,IF(('user page'!$Y$1=5),'user page'!$M$33,IF(('user page'!$Y$1=6),'user page'!$C$33,""))))))))*Scenario!C11</f>
        <v>301574.53992908995</v>
      </c>
      <c r="E52" s="776">
        <f>C52*E8/GBDNZ!D8</f>
        <v>0</v>
      </c>
      <c r="F52" s="581">
        <f>D52*F8/GBDNZ!D16</f>
        <v>0.12809401470001497</v>
      </c>
      <c r="G52" s="582">
        <f>C52*G8/GBDNZ!D8</f>
        <v>0.14647817838675986</v>
      </c>
      <c r="H52" s="581">
        <f>D52*H8/GBDNZ!D16</f>
        <v>0.11296761206233527</v>
      </c>
      <c r="I52" s="582">
        <f>C52*I8/GBDNZ!D8</f>
        <v>0.25032619073630308</v>
      </c>
      <c r="J52" s="585">
        <f>D52*J8/GBDNZ!D16</f>
        <v>0.21198552630779333</v>
      </c>
      <c r="K52" s="581">
        <f>C52*K8/GBDNZ!D8</f>
        <v>1.3081273518938492</v>
      </c>
      <c r="L52" s="581">
        <f>D52*L8/GBDNZ!D16</f>
        <v>0.48598810937142661</v>
      </c>
      <c r="M52" s="578">
        <f>C52*M8/GBDNZ!D8</f>
        <v>0</v>
      </c>
      <c r="N52" s="576">
        <f>D52*N8/GBDNZ!D16</f>
        <v>0</v>
      </c>
      <c r="O52" s="581">
        <f>C52*O8/GBDNZ!D8</f>
        <v>3.6042534116314716E-2</v>
      </c>
      <c r="P52" s="581">
        <f>D52*P8/GBDNZ!D16</f>
        <v>6.1271582902315921E-2</v>
      </c>
      <c r="Q52" s="582">
        <f>C52*Q8/GBDNZ!D8</f>
        <v>0.15715694601724317</v>
      </c>
      <c r="R52" s="581">
        <f>D52*R8/GBDNZ!D16</f>
        <v>9.6274198660451893E-2</v>
      </c>
      <c r="S52" s="582">
        <f>C52*S8/GBDNZ!D8</f>
        <v>2.2998066440531519E-2</v>
      </c>
      <c r="T52" s="581">
        <f>D52*T8/GBDNZ!D16</f>
        <v>2.1800465811013511E-2</v>
      </c>
      <c r="U52" s="582">
        <f>C52*U8/GBDNZ!D8</f>
        <v>0</v>
      </c>
      <c r="V52" s="581">
        <f>D52*V8/GBDNZ!D16</f>
        <v>0</v>
      </c>
      <c r="W52" s="582">
        <f>C52*W8/GBDNZ!D8</f>
        <v>0</v>
      </c>
      <c r="X52" s="581">
        <f>D52*X8/GBDNZ!D16</f>
        <v>0</v>
      </c>
      <c r="Y52" s="582">
        <f>C52*Y8/GBDNZ!D8</f>
        <v>0</v>
      </c>
      <c r="Z52" s="581">
        <f>D52*Z8/GBDNZ!D16</f>
        <v>0</v>
      </c>
      <c r="AA52" s="582">
        <f>C52*AA8/GBDNZ!D8</f>
        <v>0</v>
      </c>
      <c r="AB52" s="581">
        <f>D52*AB8/GBDNZ!D16</f>
        <v>0</v>
      </c>
      <c r="AC52" s="582">
        <f>C52*AC8/GBDNZ!D8</f>
        <v>1.9211292675910014</v>
      </c>
      <c r="AD52" s="581">
        <f>D52*AD8/GBDNZ!D16</f>
        <v>1.1183815098153516</v>
      </c>
      <c r="AE52" s="582">
        <f>C52*AE8/GBDNZ!D8</f>
        <v>1.1226083134482123</v>
      </c>
      <c r="AF52" s="585">
        <f>D52*AF8/GBDNZ!D16</f>
        <v>1.5461553860339936</v>
      </c>
    </row>
    <row r="53" spans="1:35" s="545" customFormat="1" ht="12.75" customHeight="1" x14ac:dyDescent="0.3">
      <c r="A53" s="983"/>
      <c r="B53" s="33" t="s">
        <v>8</v>
      </c>
      <c r="C53" s="620">
        <f>(IF(('user page'!$Y$1=0),'user page'!$C$33,IF(('user page'!$Y$1=1),'user page'!$E$33,IF(('user page'!$Y$1=2),'user page'!$G$33,IF(('user page'!$Y$1=3),'user page'!$I$33,IF(('user page'!$Y$1=4),'user page'!$K$33,IF(('user page'!$Y$1=5),'user page'!$M$33,IF(('user page'!$Y$1=6),'user page'!$C$33,""))))))))*Scenario!B12</f>
        <v>272876.96268782712</v>
      </c>
      <c r="D53" s="622">
        <f>(IF(('user page'!$Y$1=0),'user page'!$C$33,IF(('user page'!$Y$1=1),'user page'!$E$33,IF(('user page'!$Y$1=2),'user page'!$G$33,IF(('user page'!$Y$1=3),'user page'!$I$33,IF(('user page'!$Y$1=4),'user page'!$K$33,IF(('user page'!$Y$1=5),'user page'!$M$33,IF(('user page'!$Y$1=6),'user page'!$C$33,""))))))))*Scenario!C12</f>
        <v>308273.97433732904</v>
      </c>
      <c r="E53" s="776">
        <f>C53*E9/GBDNZ!D9</f>
        <v>0</v>
      </c>
      <c r="F53" s="581">
        <f>D53*F9/GBDNZ!D17</f>
        <v>0.20227930505719538</v>
      </c>
      <c r="G53" s="582">
        <f>C53*G9/GBDNZ!D9</f>
        <v>0.58925988835732912</v>
      </c>
      <c r="H53" s="581">
        <f>D53*H9/GBDNZ!D17</f>
        <v>0.2994295665165187</v>
      </c>
      <c r="I53" s="582">
        <f>C53*I9/GBDNZ!D9</f>
        <v>0.9648733602271915</v>
      </c>
      <c r="J53" s="585">
        <f>D53*J9/GBDNZ!D17</f>
        <v>0.46618092850973936</v>
      </c>
      <c r="K53" s="581">
        <f>C53*K9/GBDNZ!D9</f>
        <v>3.2332567263469514</v>
      </c>
      <c r="L53" s="581">
        <f>D53*L9/GBDNZ!D17</f>
        <v>0.9008232805975549</v>
      </c>
      <c r="M53" s="578">
        <f>C53*M9/GBDNZ!D9</f>
        <v>0</v>
      </c>
      <c r="N53" s="576">
        <f>D53*N9/GBDNZ!D17</f>
        <v>0</v>
      </c>
      <c r="O53" s="581">
        <f>C53*O9/GBDNZ!D9</f>
        <v>0.52725874418223939</v>
      </c>
      <c r="P53" s="581">
        <f>D53*P9/GBDNZ!D17</f>
        <v>0.54373810685364865</v>
      </c>
      <c r="Q53" s="582">
        <f>C53*Q9/GBDNZ!D9</f>
        <v>0.38117735162216015</v>
      </c>
      <c r="R53" s="581">
        <f>D53*R9/GBDNZ!D17</f>
        <v>0.12045127630432308</v>
      </c>
      <c r="S53" s="582">
        <f>C53*S9/GBDNZ!D9</f>
        <v>7.6908285951635222E-2</v>
      </c>
      <c r="T53" s="581">
        <f>D53*T9/GBDNZ!D17</f>
        <v>3.7081322005283274E-2</v>
      </c>
      <c r="U53" s="582">
        <f>C53*U9/GBDNZ!D9</f>
        <v>0</v>
      </c>
      <c r="V53" s="581">
        <f>D53*V9/GBDNZ!D17</f>
        <v>0</v>
      </c>
      <c r="W53" s="582">
        <f>C53*W9/GBDNZ!D9</f>
        <v>0</v>
      </c>
      <c r="X53" s="581">
        <f>D53*X9/GBDNZ!D17</f>
        <v>0</v>
      </c>
      <c r="Y53" s="582">
        <f>C53*Y9/GBDNZ!D9</f>
        <v>0</v>
      </c>
      <c r="Z53" s="581">
        <f>D53*Z9/GBDNZ!D17</f>
        <v>0</v>
      </c>
      <c r="AA53" s="582">
        <f>C53*AA9/GBDNZ!D9</f>
        <v>0</v>
      </c>
      <c r="AB53" s="581">
        <f>D53*AB9/GBDNZ!D17</f>
        <v>0</v>
      </c>
      <c r="AC53" s="582">
        <f>C53*AC9/GBDNZ!D9</f>
        <v>5.7727343566875069</v>
      </c>
      <c r="AD53" s="581">
        <f>D53*AD9/GBDNZ!D17</f>
        <v>2.5699837858442631</v>
      </c>
      <c r="AE53" s="582">
        <f>C53*AE9/GBDNZ!D9</f>
        <v>7.5686247497975785</v>
      </c>
      <c r="AF53" s="585">
        <f>D53*AF9/GBDNZ!D17</f>
        <v>6.368584416111295</v>
      </c>
    </row>
    <row r="54" spans="1:35" s="545" customFormat="1" ht="12.75" customHeight="1" x14ac:dyDescent="0.3">
      <c r="A54" s="983"/>
      <c r="B54" s="34" t="s">
        <v>9</v>
      </c>
      <c r="C54" s="621">
        <f>(IF(('user page'!$Y$1=0),'user page'!$C$33,IF(('user page'!$Y$1=1),'user page'!$E$33,IF(('user page'!$Y$1=2),'user page'!$G$33,IF(('user page'!$Y$1=3),'user page'!$I$33,IF(('user page'!$Y$1=4),'user page'!$K$33,IF(('user page'!$Y$1=5),'user page'!$M$33,IF(('user page'!$Y$1=6),'user page'!$C$33,""))))))))*Scenario!B13</f>
        <v>220081.41988857</v>
      </c>
      <c r="D54" s="623">
        <f>(IF(('user page'!$Y$1=0),'user page'!$C$33,IF(('user page'!$Y$1=1),'user page'!$E$33,IF(('user page'!$Y$1=2),'user page'!$G$33,IF(('user page'!$Y$1=3),'user page'!$I$33,IF(('user page'!$Y$1=4),'user page'!$K$33,IF(('user page'!$Y$1=5),'user page'!$M$33,IF(('user page'!$Y$1=6),'user page'!$C$33,""))))))))*Scenario!C13</f>
        <v>285875.86527097755</v>
      </c>
      <c r="E54" s="777">
        <f>C54*E10/GBDNZ!D10</f>
        <v>0</v>
      </c>
      <c r="F54" s="583">
        <f>D54*F10/GBDNZ!D18</f>
        <v>0.20187470727444315</v>
      </c>
      <c r="G54" s="584">
        <f>C54*G10/GBDNZ!D10</f>
        <v>0.87028339466163729</v>
      </c>
      <c r="H54" s="583">
        <f>D54*H10/GBDNZ!D18</f>
        <v>0.40333378112524609</v>
      </c>
      <c r="I54" s="584">
        <f>C54*I10/GBDNZ!D10</f>
        <v>2.0962821192040852</v>
      </c>
      <c r="J54" s="586">
        <f>D54*J10/GBDNZ!D18</f>
        <v>2.9992196787988963</v>
      </c>
      <c r="K54" s="584">
        <f>C54*K10/GBDNZ!D10</f>
        <v>5.5448786874558804</v>
      </c>
      <c r="L54" s="583">
        <f>D54*L10/GBDNZ!D18</f>
        <v>4.8940681580707341</v>
      </c>
      <c r="M54" s="579">
        <f>C54*M10/GBDNZ!D10</f>
        <v>0</v>
      </c>
      <c r="N54" s="577">
        <f>D54*N10/GBDNZ!D18</f>
        <v>0</v>
      </c>
      <c r="O54" s="583">
        <f>C54*O10/GBDNZ!D10</f>
        <v>4.4365574022299947</v>
      </c>
      <c r="P54" s="583">
        <f>D54*P10/GBDNZ!D18</f>
        <v>3.4860802994061686</v>
      </c>
      <c r="Q54" s="584">
        <f>C54*Q10/GBDNZ!D10</f>
        <v>0.45078999755327426</v>
      </c>
      <c r="R54" s="583">
        <f>D54*R10/GBDNZ!D18</f>
        <v>0.38913515736206961</v>
      </c>
      <c r="S54" s="584">
        <f>C54*S10/GBDNZ!D10</f>
        <v>0.21101173894026273</v>
      </c>
      <c r="T54" s="583">
        <f>D54*T10/GBDNZ!D18</f>
        <v>0.39018005920803867</v>
      </c>
      <c r="U54" s="584">
        <f>C54*U10/GBDNZ!D10</f>
        <v>0</v>
      </c>
      <c r="V54" s="583">
        <f>D54*V10/GBDNZ!D18</f>
        <v>0</v>
      </c>
      <c r="W54" s="584">
        <f>C54*W10/GBDNZ!D10</f>
        <v>0</v>
      </c>
      <c r="X54" s="583">
        <f>D54*X10/GBDNZ!D18</f>
        <v>0</v>
      </c>
      <c r="Y54" s="584">
        <f>C54*Y10/GBDNZ!D10</f>
        <v>0</v>
      </c>
      <c r="Z54" s="583">
        <f>D54*Z10/GBDNZ!D18</f>
        <v>0</v>
      </c>
      <c r="AA54" s="584">
        <f>C54*AA10/GBDNZ!D10</f>
        <v>0</v>
      </c>
      <c r="AB54" s="583">
        <f>D54*AB10/GBDNZ!D18</f>
        <v>0</v>
      </c>
      <c r="AC54" s="584">
        <f>C54*AC10/GBDNZ!D10</f>
        <v>13.609803340045135</v>
      </c>
      <c r="AD54" s="583">
        <f>D54*AD10/GBDNZ!D18</f>
        <v>12.763891841245597</v>
      </c>
      <c r="AE54" s="584">
        <f>C54*AE10/GBDNZ!D10</f>
        <v>25.13216103626171</v>
      </c>
      <c r="AF54" s="586">
        <f>D54*AF10/GBDNZ!D18</f>
        <v>17.398811217747934</v>
      </c>
    </row>
    <row r="55" spans="1:35" s="545" customFormat="1" ht="12.75" customHeight="1" x14ac:dyDescent="0.3">
      <c r="A55" s="983"/>
      <c r="B55" s="955" t="s">
        <v>72</v>
      </c>
      <c r="C55" s="956"/>
      <c r="D55" s="1001"/>
      <c r="E55" s="223">
        <f t="shared" ref="E55:AB55" si="28">SUM(E47:E54)</f>
        <v>0</v>
      </c>
      <c r="F55" s="270">
        <f t="shared" si="28"/>
        <v>0.61252318675674355</v>
      </c>
      <c r="G55" s="223">
        <f t="shared" si="28"/>
        <v>1.6179342526118328</v>
      </c>
      <c r="H55" s="270">
        <f t="shared" si="28"/>
        <v>0.84628602596470393</v>
      </c>
      <c r="I55" s="223">
        <f t="shared" si="28"/>
        <v>3.3355406663404628</v>
      </c>
      <c r="J55" s="270">
        <f t="shared" si="28"/>
        <v>4.050635639674578</v>
      </c>
      <c r="K55" s="223">
        <f t="shared" si="28"/>
        <v>10.231997714536273</v>
      </c>
      <c r="L55" s="270">
        <f t="shared" si="28"/>
        <v>6.7149122898399449</v>
      </c>
      <c r="M55" s="223">
        <f t="shared" si="28"/>
        <v>0</v>
      </c>
      <c r="N55" s="270">
        <f t="shared" si="28"/>
        <v>0</v>
      </c>
      <c r="O55" s="223">
        <f t="shared" si="28"/>
        <v>5.0002975225018762</v>
      </c>
      <c r="P55" s="270">
        <f t="shared" si="28"/>
        <v>4.0945848813018504</v>
      </c>
      <c r="Q55" s="223">
        <f t="shared" si="28"/>
        <v>1.0064055171050226</v>
      </c>
      <c r="R55" s="270">
        <f t="shared" si="28"/>
        <v>0.71586161708781471</v>
      </c>
      <c r="S55" s="223">
        <f t="shared" si="28"/>
        <v>0.3136947923837784</v>
      </c>
      <c r="T55" s="270">
        <f t="shared" si="28"/>
        <v>0.47213152438422379</v>
      </c>
      <c r="U55" s="223">
        <f t="shared" si="28"/>
        <v>0</v>
      </c>
      <c r="V55" s="270">
        <f t="shared" si="28"/>
        <v>0</v>
      </c>
      <c r="W55" s="223">
        <f t="shared" si="28"/>
        <v>0</v>
      </c>
      <c r="X55" s="270">
        <f t="shared" si="28"/>
        <v>0</v>
      </c>
      <c r="Y55" s="223">
        <f t="shared" si="28"/>
        <v>0</v>
      </c>
      <c r="Z55" s="270">
        <f t="shared" si="28"/>
        <v>0</v>
      </c>
      <c r="AA55" s="223">
        <f t="shared" si="28"/>
        <v>0</v>
      </c>
      <c r="AB55" s="270">
        <f t="shared" si="28"/>
        <v>0</v>
      </c>
      <c r="AC55" s="223">
        <f t="shared" ref="AC55:AF55" si="29">SUM(AC47:AC54)</f>
        <v>21.505870465479248</v>
      </c>
      <c r="AD55" s="270">
        <f t="shared" si="29"/>
        <v>17.50693516500986</v>
      </c>
      <c r="AE55" s="223">
        <f t="shared" si="29"/>
        <v>34.065316005458214</v>
      </c>
      <c r="AF55" s="222">
        <f t="shared" si="29"/>
        <v>25.777421770641809</v>
      </c>
      <c r="AG55" s="232">
        <f>AC55+AD55</f>
        <v>39.012805630489112</v>
      </c>
      <c r="AH55" s="567">
        <f>AE55+AF55</f>
        <v>59.842737776100023</v>
      </c>
      <c r="AI55" s="232"/>
    </row>
    <row r="56" spans="1:35" s="545" customFormat="1" ht="14.5" x14ac:dyDescent="0.35">
      <c r="A56" s="984"/>
      <c r="B56" s="996"/>
      <c r="C56" s="1002"/>
      <c r="D56" s="1003"/>
      <c r="E56" s="965">
        <f>E12</f>
        <v>0.03</v>
      </c>
      <c r="F56" s="966"/>
      <c r="G56" s="965">
        <f t="shared" ref="G56" si="30">G12</f>
        <v>6.5540227880196266E-4</v>
      </c>
      <c r="H56" s="966"/>
      <c r="I56" s="965">
        <f t="shared" ref="I56" si="31">I12</f>
        <v>1.0095384135412988E-3</v>
      </c>
      <c r="J56" s="966"/>
      <c r="K56" s="965">
        <f t="shared" ref="K56" si="32">K12</f>
        <v>1.0315867570894707E-3</v>
      </c>
      <c r="L56" s="966"/>
      <c r="M56" s="965">
        <f t="shared" ref="M56" si="33">M12</f>
        <v>0</v>
      </c>
      <c r="N56" s="966"/>
      <c r="O56" s="965">
        <f t="shared" ref="O56" si="34">O12</f>
        <v>1.119290616987691E-3</v>
      </c>
      <c r="P56" s="966"/>
      <c r="Q56" s="965">
        <f t="shared" ref="Q56" si="35">Q12</f>
        <v>1.0789727800285104E-3</v>
      </c>
      <c r="R56" s="966"/>
      <c r="S56" s="965">
        <f t="shared" ref="S56" si="36">S12</f>
        <v>9.2681973496211629E-4</v>
      </c>
      <c r="T56" s="966"/>
      <c r="U56" s="965">
        <f t="shared" ref="U56" si="37">U12</f>
        <v>0</v>
      </c>
      <c r="V56" s="966"/>
      <c r="W56" s="965">
        <f t="shared" ref="W56" si="38">W12</f>
        <v>0</v>
      </c>
      <c r="X56" s="966"/>
      <c r="Y56" s="965">
        <f t="shared" ref="Y56" si="39">Y12</f>
        <v>0</v>
      </c>
      <c r="Z56" s="966"/>
      <c r="AA56" s="965">
        <f t="shared" ref="AA56" si="40">AA12</f>
        <v>0</v>
      </c>
      <c r="AB56" s="966"/>
      <c r="AC56" s="967">
        <f t="shared" ref="AC56" si="41">AC12</f>
        <v>4.5963777941389263E-4</v>
      </c>
      <c r="AD56" s="964"/>
      <c r="AE56" s="967">
        <f t="shared" ref="AE56" si="42">AE12</f>
        <v>6.5720334756750828E-4</v>
      </c>
      <c r="AF56" s="964"/>
      <c r="AG56" s="232"/>
    </row>
    <row r="57" spans="1:35" s="545" customFormat="1" ht="12.75" customHeight="1" x14ac:dyDescent="0.3">
      <c r="A57" s="989" t="s">
        <v>76</v>
      </c>
      <c r="B57" s="572" t="s">
        <v>2</v>
      </c>
      <c r="C57" s="591"/>
      <c r="D57" s="591"/>
      <c r="E57" s="588">
        <f>C47*E13/GBDNZ!D3</f>
        <v>0</v>
      </c>
      <c r="F57" s="581">
        <f>D47*F13/GBDNZ!D11</f>
        <v>0</v>
      </c>
      <c r="G57" s="588">
        <f>C47*G13/GBDNZ!D3</f>
        <v>0</v>
      </c>
      <c r="H57" s="589">
        <f>D47*H13/GBDNZ!D11</f>
        <v>0</v>
      </c>
      <c r="I57" s="588">
        <f>C47*I13/GBDNZ!D3</f>
        <v>0</v>
      </c>
      <c r="J57" s="589">
        <f>D47*J13/GBDNZ!D11</f>
        <v>0</v>
      </c>
      <c r="K57" s="588">
        <f>C47*K13/GBDNZ!D3</f>
        <v>0</v>
      </c>
      <c r="L57" s="589">
        <f>D47*L13/GBDNZ!D11</f>
        <v>0</v>
      </c>
      <c r="M57" s="588">
        <f>C47*M13/GBDNZ!D3</f>
        <v>0</v>
      </c>
      <c r="N57" s="587">
        <f>D47*N13/GBDNZ!D11</f>
        <v>0</v>
      </c>
      <c r="O57" s="588">
        <f>C47*O13/GBDNZ!D3</f>
        <v>0</v>
      </c>
      <c r="P57" s="589">
        <f>D47*P13/GBDNZ!D11</f>
        <v>0</v>
      </c>
      <c r="Q57" s="588">
        <f>C47*Q13/GBDNZ!D3</f>
        <v>0</v>
      </c>
      <c r="R57" s="589">
        <f>D47*R13/GBDNZ!D11</f>
        <v>0</v>
      </c>
      <c r="S57" s="588">
        <f>C47*S13/GBDNZ!D3</f>
        <v>0</v>
      </c>
      <c r="T57" s="589">
        <f>D47*T13/GBDNZ!D11</f>
        <v>0</v>
      </c>
      <c r="U57" s="588">
        <f>C47*U13/GBDNZ!D3</f>
        <v>0</v>
      </c>
      <c r="V57" s="589">
        <f>D47*V13/GBDNZ!D11</f>
        <v>0</v>
      </c>
      <c r="W57" s="588">
        <f>C47*W13/GBDNZ!D3</f>
        <v>0</v>
      </c>
      <c r="X57" s="589">
        <f>D47*X13/GBDNZ!D11</f>
        <v>0</v>
      </c>
      <c r="Y57" s="588">
        <f>C47*Y13/GBDNZ!D3</f>
        <v>0</v>
      </c>
      <c r="Z57" s="589">
        <f>D47*Z13/GBDNZ!D11</f>
        <v>0</v>
      </c>
      <c r="AA57" s="588">
        <f>C47*AA13/GBDNZ!D3</f>
        <v>0</v>
      </c>
      <c r="AB57" s="589">
        <f>D47*AB13/GBDNZ!D11</f>
        <v>0</v>
      </c>
      <c r="AC57" s="588">
        <f>C47*AC13/GBDNZ!D3</f>
        <v>0</v>
      </c>
      <c r="AD57" s="589">
        <f>D47*AD13/GBDNZ!D11</f>
        <v>0</v>
      </c>
      <c r="AE57" s="588">
        <f>C47*AE13/GBDNZ!D3</f>
        <v>0</v>
      </c>
      <c r="AF57" s="589">
        <f>D47*AF13/GBDNZ!D11</f>
        <v>0</v>
      </c>
      <c r="AG57" s="232"/>
    </row>
    <row r="58" spans="1:35" s="545" customFormat="1" ht="12.75" customHeight="1" x14ac:dyDescent="0.3">
      <c r="A58" s="983"/>
      <c r="B58" s="571" t="s">
        <v>3</v>
      </c>
      <c r="C58" s="591"/>
      <c r="D58" s="591"/>
      <c r="E58" s="582">
        <f>C48*E14/GBDNZ!D4</f>
        <v>0</v>
      </c>
      <c r="F58" s="581">
        <f>D48*F14/GBDNZ!D12</f>
        <v>0</v>
      </c>
      <c r="G58" s="582">
        <f>C48*G14/GBDNZ!D4</f>
        <v>0</v>
      </c>
      <c r="H58" s="585">
        <f>D48*H14/GBDNZ!D12</f>
        <v>0</v>
      </c>
      <c r="I58" s="582">
        <f>C48*I14/GBDNZ!D4</f>
        <v>0</v>
      </c>
      <c r="J58" s="585">
        <f>D48*J14/GBDNZ!D12</f>
        <v>0</v>
      </c>
      <c r="K58" s="582">
        <f>C48*K14/GBDNZ!D4</f>
        <v>0</v>
      </c>
      <c r="L58" s="585">
        <f>D48*L14/GBDNZ!D12</f>
        <v>0</v>
      </c>
      <c r="M58" s="582">
        <f>C48*M14/GBDNZ!D4</f>
        <v>0</v>
      </c>
      <c r="N58" s="581">
        <f>D48*N14/GBDNZ!D12</f>
        <v>0</v>
      </c>
      <c r="O58" s="582">
        <f>C48*O14/GBDNZ!D4</f>
        <v>0</v>
      </c>
      <c r="P58" s="585">
        <f>D48*P14/GBDNZ!D12</f>
        <v>0</v>
      </c>
      <c r="Q58" s="582">
        <f>C48*Q14/GBDNZ!D4</f>
        <v>0</v>
      </c>
      <c r="R58" s="585">
        <f>D48*R14/GBDNZ!D12</f>
        <v>0</v>
      </c>
      <c r="S58" s="582">
        <f>C48*S14/GBDNZ!D4</f>
        <v>0</v>
      </c>
      <c r="T58" s="585">
        <f>D48*T14/GBDNZ!D12</f>
        <v>0</v>
      </c>
      <c r="U58" s="582">
        <f>C48*U14/GBDNZ!D4</f>
        <v>0</v>
      </c>
      <c r="V58" s="585">
        <f>D48*V14/GBDNZ!D12</f>
        <v>0</v>
      </c>
      <c r="W58" s="582">
        <f>C48*W14/GBDNZ!D4</f>
        <v>0</v>
      </c>
      <c r="X58" s="585">
        <f>D48*X14/GBDNZ!D12</f>
        <v>0</v>
      </c>
      <c r="Y58" s="582">
        <f>C48*Y14/GBDNZ!D4</f>
        <v>0</v>
      </c>
      <c r="Z58" s="585">
        <f>D48*Z14/GBDNZ!D12</f>
        <v>0</v>
      </c>
      <c r="AA58" s="582">
        <f>C48*AA14/GBDNZ!D4</f>
        <v>0</v>
      </c>
      <c r="AB58" s="585">
        <f>D48*AB14/GBDNZ!D12</f>
        <v>0</v>
      </c>
      <c r="AC58" s="582">
        <f>C48*AC14/GBDNZ!D4</f>
        <v>0</v>
      </c>
      <c r="AD58" s="585">
        <f>D48*AD14/GBDNZ!D12</f>
        <v>0</v>
      </c>
      <c r="AE58" s="582">
        <f>C48*AE14/GBDNZ!D4</f>
        <v>0</v>
      </c>
      <c r="AF58" s="585">
        <f>D48*AF14/GBDNZ!D12</f>
        <v>0</v>
      </c>
      <c r="AG58" s="232"/>
    </row>
    <row r="59" spans="1:35" s="545" customFormat="1" ht="12.75" customHeight="1" x14ac:dyDescent="0.3">
      <c r="A59" s="983"/>
      <c r="B59" s="571" t="s">
        <v>4</v>
      </c>
      <c r="C59" s="591"/>
      <c r="D59" s="591"/>
      <c r="E59" s="582">
        <f>C49*E15/GBDNZ!D5</f>
        <v>0</v>
      </c>
      <c r="F59" s="581">
        <f>D49*F15/GBDNZ!D13</f>
        <v>5.4652037354663639E-2</v>
      </c>
      <c r="G59" s="582">
        <f>C49*G15/GBDNZ!D5</f>
        <v>5.0367128268509427E-2</v>
      </c>
      <c r="H59" s="585">
        <f>D49*H15/GBDNZ!D13</f>
        <v>3.1045280460616911E-2</v>
      </c>
      <c r="I59" s="582">
        <f>C49*I15/GBDNZ!D5</f>
        <v>0.18251839338662926</v>
      </c>
      <c r="J59" s="585">
        <f>D49*J15/GBDNZ!D13</f>
        <v>0.21474963565184688</v>
      </c>
      <c r="K59" s="582">
        <f>C49*K15/GBDNZ!D5</f>
        <v>0.34174759433457291</v>
      </c>
      <c r="L59" s="585">
        <f>D49*L15/GBDNZ!D13</f>
        <v>0.15513188283848309</v>
      </c>
      <c r="M59" s="582">
        <f>C49*M15/GBDNZ!D5</f>
        <v>0</v>
      </c>
      <c r="N59" s="581">
        <f>D49*N15/GBDNZ!D13</f>
        <v>0</v>
      </c>
      <c r="O59" s="582">
        <f>C49*O15/GBDNZ!D5</f>
        <v>0</v>
      </c>
      <c r="P59" s="585">
        <f>D49*P15/GBDNZ!D13</f>
        <v>0</v>
      </c>
      <c r="Q59" s="582">
        <f>C49*Q15/GBDNZ!D5</f>
        <v>0.12519323349665926</v>
      </c>
      <c r="R59" s="585">
        <f>D49*R15/GBDNZ!D13</f>
        <v>8.3612341394371029E-2</v>
      </c>
      <c r="S59" s="582">
        <f>C49*S15/GBDNZ!D5</f>
        <v>7.0382608885849436E-3</v>
      </c>
      <c r="T59" s="585">
        <f>D49*T15/GBDNZ!D13</f>
        <v>5.7797175081405082E-3</v>
      </c>
      <c r="U59" s="582">
        <f>C49*U15/GBDNZ!D5</f>
        <v>0</v>
      </c>
      <c r="V59" s="585">
        <f>D49*V15/GBDNZ!D13</f>
        <v>0</v>
      </c>
      <c r="W59" s="582">
        <f>C49*W15/GBDNZ!D5</f>
        <v>0</v>
      </c>
      <c r="X59" s="585">
        <f>D49*X15/GBDNZ!D13</f>
        <v>0</v>
      </c>
      <c r="Y59" s="582">
        <f>C49*Y15/GBDNZ!D5</f>
        <v>0</v>
      </c>
      <c r="Z59" s="585">
        <f>D49*Z15/GBDNZ!D13</f>
        <v>0</v>
      </c>
      <c r="AA59" s="582">
        <f>C49*AA15/GBDNZ!D5</f>
        <v>0</v>
      </c>
      <c r="AB59" s="585">
        <f>D49*AB15/GBDNZ!D13</f>
        <v>0</v>
      </c>
      <c r="AC59" s="582">
        <f>C49*AC15/GBDNZ!D5</f>
        <v>0.70686461037495585</v>
      </c>
      <c r="AD59" s="585">
        <f>D49*AD15/GBDNZ!D13</f>
        <v>0.54497089520812203</v>
      </c>
      <c r="AE59" s="582">
        <f>C49*AE15/GBDNZ!D5</f>
        <v>6.7133673950004598</v>
      </c>
      <c r="AF59" s="585">
        <f>D49*AF15/GBDNZ!D13</f>
        <v>3.7475437017439157</v>
      </c>
      <c r="AG59" s="232"/>
    </row>
    <row r="60" spans="1:35" s="545" customFormat="1" ht="12.75" customHeight="1" x14ac:dyDescent="0.3">
      <c r="A60" s="983"/>
      <c r="B60" s="571" t="s">
        <v>5</v>
      </c>
      <c r="C60" s="591"/>
      <c r="D60" s="591"/>
      <c r="E60" s="582">
        <f>C50*E16/GBDNZ!D6</f>
        <v>0</v>
      </c>
      <c r="F60" s="581">
        <f>D50*F16/GBDNZ!D14</f>
        <v>0.715870105781241</v>
      </c>
      <c r="G60" s="582">
        <f>C50*G16/GBDNZ!D6</f>
        <v>0.11513142963419554</v>
      </c>
      <c r="H60" s="585">
        <f>D50*H16/GBDNZ!D14</f>
        <v>0.1881631417068238</v>
      </c>
      <c r="I60" s="582">
        <f>C50*I16/GBDNZ!D6</f>
        <v>0.27202927770564683</v>
      </c>
      <c r="J60" s="585">
        <f>D50*J16/GBDNZ!D14</f>
        <v>13.62192465746503</v>
      </c>
      <c r="K60" s="582">
        <f>C50*K16/GBDNZ!D6</f>
        <v>1.4816426359425834</v>
      </c>
      <c r="L60" s="585">
        <f>D50*L16/GBDNZ!D14</f>
        <v>13.704475096225599</v>
      </c>
      <c r="M60" s="582">
        <f>C50*M16/GBDNZ!D6</f>
        <v>0</v>
      </c>
      <c r="N60" s="581">
        <f>D50*N16/GBDNZ!D14</f>
        <v>0</v>
      </c>
      <c r="O60" s="582">
        <f>C50*O16/GBDNZ!D6</f>
        <v>3.5249345322313321E-5</v>
      </c>
      <c r="P60" s="585">
        <f>D50*P16/GBDNZ!D14</f>
        <v>1.7442162705687321E-4</v>
      </c>
      <c r="Q60" s="582">
        <f>C50*Q16/GBDNZ!D6</f>
        <v>0.15568373505148936</v>
      </c>
      <c r="R60" s="585">
        <f>D50*R16/GBDNZ!D14</f>
        <v>3.6618196870254685</v>
      </c>
      <c r="S60" s="582">
        <f>C50*S16/GBDNZ!D6</f>
        <v>2.8697134902377051E-2</v>
      </c>
      <c r="T60" s="585">
        <f>D50*T16/GBDNZ!D14</f>
        <v>0.74944069973220873</v>
      </c>
      <c r="U60" s="582">
        <f>C50*U16/GBDNZ!D6</f>
        <v>0</v>
      </c>
      <c r="V60" s="585">
        <f>D50*V16/GBDNZ!D14</f>
        <v>0</v>
      </c>
      <c r="W60" s="582">
        <f>C50*W16/GBDNZ!D6</f>
        <v>0</v>
      </c>
      <c r="X60" s="585">
        <f>D50*X16/GBDNZ!D14</f>
        <v>0</v>
      </c>
      <c r="Y60" s="582">
        <f>C50*Y16/GBDNZ!D6</f>
        <v>0</v>
      </c>
      <c r="Z60" s="585">
        <f>D50*Z16/GBDNZ!D14</f>
        <v>0</v>
      </c>
      <c r="AA60" s="582">
        <f>C50*AA16/GBDNZ!D6</f>
        <v>0</v>
      </c>
      <c r="AB60" s="585">
        <f>D50*AB16/GBDNZ!D14</f>
        <v>0</v>
      </c>
      <c r="AC60" s="582">
        <f>C50*AC16/GBDNZ!D6</f>
        <v>2.0532194625816147</v>
      </c>
      <c r="AD60" s="585">
        <f>D50*AD16/GBDNZ!D14</f>
        <v>32.641867809563429</v>
      </c>
      <c r="AE60" s="582">
        <f>C50*AE16/GBDNZ!D6</f>
        <v>2.7551696757817941</v>
      </c>
      <c r="AF60" s="585">
        <f>D50*AF16/GBDNZ!D14</f>
        <v>3.8627691892775107</v>
      </c>
      <c r="AG60" s="232"/>
    </row>
    <row r="61" spans="1:35" s="545" customFormat="1" ht="12.75" customHeight="1" x14ac:dyDescent="0.3">
      <c r="A61" s="983"/>
      <c r="B61" s="571" t="s">
        <v>6</v>
      </c>
      <c r="C61" s="591"/>
      <c r="D61" s="591"/>
      <c r="E61" s="582">
        <f>C51*E17/GBDNZ!D7</f>
        <v>0</v>
      </c>
      <c r="F61" s="581">
        <f>D51*F17/GBDNZ!D15</f>
        <v>2.2361547662024495</v>
      </c>
      <c r="G61" s="582">
        <f>C51*G17/GBDNZ!D7</f>
        <v>0.29187427514045583</v>
      </c>
      <c r="H61" s="585">
        <f>D51*H17/GBDNZ!D15</f>
        <v>0.88402557491049849</v>
      </c>
      <c r="I61" s="582">
        <f>C51*I17/GBDNZ!D7</f>
        <v>0.5244210477936736</v>
      </c>
      <c r="J61" s="585">
        <f>D51*J17/GBDNZ!D15</f>
        <v>2.8505383764187937</v>
      </c>
      <c r="K61" s="582">
        <f>C51*K17/GBDNZ!D7</f>
        <v>3.700623646674174</v>
      </c>
      <c r="L61" s="585">
        <f>D51*L17/GBDNZ!D15</f>
        <v>4.7327201143467743</v>
      </c>
      <c r="M61" s="582">
        <f>C51*M17/GBDNZ!D7</f>
        <v>0</v>
      </c>
      <c r="N61" s="581">
        <f>D51*N17/GBDNZ!D15</f>
        <v>0</v>
      </c>
      <c r="O61" s="582">
        <f>C51*O17/GBDNZ!D7</f>
        <v>1.3724662698002118E-2</v>
      </c>
      <c r="P61" s="585">
        <f>D51*P17/GBDNZ!D15</f>
        <v>0.10990458000698829</v>
      </c>
      <c r="Q61" s="582">
        <f>C51*Q17/GBDNZ!D7</f>
        <v>0.40568885176550096</v>
      </c>
      <c r="R61" s="585">
        <f>D51*R17/GBDNZ!D15</f>
        <v>1.094266149525505</v>
      </c>
      <c r="S61" s="582">
        <f>C51*S17/GBDNZ!D7</f>
        <v>6.9512342680704595E-2</v>
      </c>
      <c r="T61" s="585">
        <f>D51*T17/GBDNZ!D15</f>
        <v>0.23421242489909985</v>
      </c>
      <c r="U61" s="582">
        <f>C51*U17/GBDNZ!D7</f>
        <v>0</v>
      </c>
      <c r="V61" s="585">
        <f>D51*V17/GBDNZ!D15</f>
        <v>0</v>
      </c>
      <c r="W61" s="582">
        <f>C51*W17/GBDNZ!D7</f>
        <v>0</v>
      </c>
      <c r="X61" s="585">
        <f>D51*X17/GBDNZ!D15</f>
        <v>0</v>
      </c>
      <c r="Y61" s="582">
        <f>C51*Y17/GBDNZ!D7</f>
        <v>0</v>
      </c>
      <c r="Z61" s="585">
        <f>D51*Z17/GBDNZ!D15</f>
        <v>0</v>
      </c>
      <c r="AA61" s="582">
        <f>C51*AA17/GBDNZ!D7</f>
        <v>0</v>
      </c>
      <c r="AB61" s="585">
        <f>D51*AB17/GBDNZ!D15</f>
        <v>0</v>
      </c>
      <c r="AC61" s="582">
        <f>C51*AC17/GBDNZ!D7</f>
        <v>5.0058448267525106</v>
      </c>
      <c r="AD61" s="585">
        <f>D51*AD17/GBDNZ!D15</f>
        <v>12.141821986310109</v>
      </c>
      <c r="AE61" s="582">
        <f>C51*AE17/GBDNZ!D7</f>
        <v>2.7615965151029465</v>
      </c>
      <c r="AF61" s="585">
        <f>D51*AF17/GBDNZ!D15</f>
        <v>11.151228754372131</v>
      </c>
      <c r="AG61" s="232"/>
    </row>
    <row r="62" spans="1:35" s="545" customFormat="1" ht="12.75" customHeight="1" x14ac:dyDescent="0.3">
      <c r="A62" s="983"/>
      <c r="B62" s="571" t="s">
        <v>7</v>
      </c>
      <c r="C62" s="591"/>
      <c r="D62" s="591"/>
      <c r="E62" s="582">
        <f>C52*E18/GBDNZ!D8</f>
        <v>0</v>
      </c>
      <c r="F62" s="581">
        <f>D52*F18/GBDNZ!D16</f>
        <v>3.0635754517138922</v>
      </c>
      <c r="G62" s="582">
        <f>C52*G18/GBDNZ!D8</f>
        <v>3.4423498163255775</v>
      </c>
      <c r="H62" s="585">
        <f>D52*H18/GBDNZ!D16</f>
        <v>2.6586293416530218</v>
      </c>
      <c r="I62" s="582">
        <f>C52*I18/GBDNZ!D8</f>
        <v>5.8390892311512053</v>
      </c>
      <c r="J62" s="585">
        <f>D52*J18/GBDNZ!D16</f>
        <v>4.9438278350325922</v>
      </c>
      <c r="K62" s="582">
        <f>C52*K18/GBDNZ!D8</f>
        <v>30.781767882056176</v>
      </c>
      <c r="L62" s="585">
        <f>D52*L18/GBDNZ!D16</f>
        <v>11.351990222864424</v>
      </c>
      <c r="M62" s="582">
        <f>C52*M18/GBDNZ!D8</f>
        <v>0</v>
      </c>
      <c r="N62" s="581">
        <f>D52*N18/GBDNZ!D16</f>
        <v>0</v>
      </c>
      <c r="O62" s="582">
        <f>C52*O18/GBDNZ!D8</f>
        <v>0.82509257585534301</v>
      </c>
      <c r="P62" s="585">
        <f>D52*P18/GBDNZ!D16</f>
        <v>1.4143142632503802</v>
      </c>
      <c r="Q62" s="582">
        <f>C52*Q18/GBDNZ!D8</f>
        <v>3.7094047081602199</v>
      </c>
      <c r="R62" s="585">
        <f>D52*R18/GBDNZ!D16</f>
        <v>2.2573992385270452</v>
      </c>
      <c r="S62" s="582">
        <f>C52*S18/GBDNZ!D8</f>
        <v>0.5442156933883503</v>
      </c>
      <c r="T62" s="585">
        <f>D52*T18/GBDNZ!D16</f>
        <v>0.51278219969445904</v>
      </c>
      <c r="U62" s="582">
        <f>C52*U18/GBDNZ!D8</f>
        <v>0</v>
      </c>
      <c r="V62" s="585">
        <f>D52*V18/GBDNZ!D16</f>
        <v>0</v>
      </c>
      <c r="W62" s="582">
        <f>C52*W18/GBDNZ!D8</f>
        <v>0</v>
      </c>
      <c r="X62" s="585">
        <f>D52*X18/GBDNZ!D16</f>
        <v>0</v>
      </c>
      <c r="Y62" s="582">
        <f>C52*Y18/GBDNZ!D8</f>
        <v>0</v>
      </c>
      <c r="Z62" s="585">
        <f>D52*Z18/GBDNZ!D16</f>
        <v>0</v>
      </c>
      <c r="AA62" s="582">
        <f>C52*AA18/GBDNZ!D8</f>
        <v>0</v>
      </c>
      <c r="AB62" s="585">
        <f>D52*AB18/GBDNZ!D16</f>
        <v>0</v>
      </c>
      <c r="AC62" s="582">
        <f>C52*AC18/GBDNZ!D8</f>
        <v>45.14191990693687</v>
      </c>
      <c r="AD62" s="585">
        <f>D52*AD18/GBDNZ!D16</f>
        <v>26.202518552735818</v>
      </c>
      <c r="AE62" s="582">
        <f>C52*AE18/GBDNZ!D8</f>
        <v>26.418923911180979</v>
      </c>
      <c r="AF62" s="585">
        <f>D52*AF18/GBDNZ!D16</f>
        <v>36.415709677805104</v>
      </c>
      <c r="AG62" s="232"/>
    </row>
    <row r="63" spans="1:35" s="545" customFormat="1" ht="12.75" customHeight="1" x14ac:dyDescent="0.3">
      <c r="A63" s="983"/>
      <c r="B63" s="571" t="s">
        <v>8</v>
      </c>
      <c r="C63" s="591"/>
      <c r="D63" s="591"/>
      <c r="E63" s="582">
        <f>C53*E19/GBDNZ!D9</f>
        <v>0</v>
      </c>
      <c r="F63" s="581">
        <f>D53*F19/GBDNZ!D17</f>
        <v>3.1043233397862302</v>
      </c>
      <c r="G63" s="582">
        <f>C53*G19/GBDNZ!D9</f>
        <v>8.9792696365687767</v>
      </c>
      <c r="H63" s="585">
        <f>D53*H19/GBDNZ!D17</f>
        <v>4.5479844874282493</v>
      </c>
      <c r="I63" s="582">
        <f>C53*I19/GBDNZ!D9</f>
        <v>14.36064483736266</v>
      </c>
      <c r="J63" s="585">
        <f>D53*J19/GBDNZ!D17</f>
        <v>6.8562763426450308</v>
      </c>
      <c r="K63" s="582">
        <f>C53*K19/GBDNZ!D9</f>
        <v>48.624865031133943</v>
      </c>
      <c r="L63" s="585">
        <f>D53*L19/GBDNZ!D17</f>
        <v>13.33585296465634</v>
      </c>
      <c r="M63" s="582">
        <f>C53*M19/GBDNZ!D9</f>
        <v>0</v>
      </c>
      <c r="N63" s="581">
        <f>D53*N19/GBDNZ!D17</f>
        <v>0</v>
      </c>
      <c r="O63" s="582">
        <f>C53*O19/GBDNZ!D9</f>
        <v>7.6957735182298235</v>
      </c>
      <c r="P63" s="585">
        <f>D53*P19/GBDNZ!D17</f>
        <v>7.86369317847329</v>
      </c>
      <c r="Q63" s="582">
        <f>C53*Q19/GBDNZ!D9</f>
        <v>5.7295313404632031</v>
      </c>
      <c r="R63" s="585">
        <f>D53*R19/GBDNZ!D17</f>
        <v>1.8194529523310528</v>
      </c>
      <c r="S63" s="582">
        <f>C53*S19/GBDNZ!D9</f>
        <v>1.1511794835990909</v>
      </c>
      <c r="T63" s="585">
        <f>D53*T19/GBDNZ!D17</f>
        <v>0.54698467959454666</v>
      </c>
      <c r="U63" s="582">
        <f>C53*U19/GBDNZ!D9</f>
        <v>0</v>
      </c>
      <c r="V63" s="585">
        <f>D53*V19/GBDNZ!D17</f>
        <v>0</v>
      </c>
      <c r="W63" s="582">
        <f>C53*W19/GBDNZ!D9</f>
        <v>0</v>
      </c>
      <c r="X63" s="585">
        <f>D53*X19/GBDNZ!D17</f>
        <v>0</v>
      </c>
      <c r="Y63" s="582">
        <f>C53*Y19/GBDNZ!D9</f>
        <v>0</v>
      </c>
      <c r="Z63" s="585">
        <f>D53*Z19/GBDNZ!D17</f>
        <v>0</v>
      </c>
      <c r="AA63" s="582">
        <f>C53*AA19/GBDNZ!D9</f>
        <v>0</v>
      </c>
      <c r="AB63" s="585">
        <f>D53*AB19/GBDNZ!D17</f>
        <v>0</v>
      </c>
      <c r="AC63" s="582">
        <f>C53*AC19/GBDNZ!D9</f>
        <v>86.541263847357484</v>
      </c>
      <c r="AD63" s="585">
        <f>D53*AD19/GBDNZ!D17</f>
        <v>38.074567944914733</v>
      </c>
      <c r="AE63" s="582">
        <f>C53*AE19/GBDNZ!D9</f>
        <v>114.0573904598338</v>
      </c>
      <c r="AF63" s="585">
        <f>D53*AF19/GBDNZ!D17</f>
        <v>95.464204036538035</v>
      </c>
      <c r="AG63" s="232"/>
    </row>
    <row r="64" spans="1:35" s="545" customFormat="1" ht="12.75" customHeight="1" x14ac:dyDescent="0.3">
      <c r="A64" s="983"/>
      <c r="B64" s="570" t="s">
        <v>9</v>
      </c>
      <c r="C64" s="592"/>
      <c r="D64" s="592"/>
      <c r="E64" s="584">
        <f>C54*E20/GBDNZ!D10</f>
        <v>0</v>
      </c>
      <c r="F64" s="583">
        <f>D54*F20/GBDNZ!D18</f>
        <v>1.1527975746919923</v>
      </c>
      <c r="G64" s="584">
        <f>C54*G20/GBDNZ!D10</f>
        <v>5.682779776479757</v>
      </c>
      <c r="H64" s="586">
        <f>D54*H20/GBDNZ!D18</f>
        <v>2.3032216910914323</v>
      </c>
      <c r="I64" s="584">
        <f>C54*I20/GBDNZ!D10</f>
        <v>13.688310849307443</v>
      </c>
      <c r="J64" s="586">
        <f>D54*J20/GBDNZ!D18</f>
        <v>17.126925995016308</v>
      </c>
      <c r="K64" s="584">
        <f>C54*K20/GBDNZ!D10</f>
        <v>36.206969660575943</v>
      </c>
      <c r="L64" s="586">
        <f>D54*L20/GBDNZ!D18</f>
        <v>27.947383698939337</v>
      </c>
      <c r="M64" s="584">
        <f>C54*M20/GBDNZ!D10</f>
        <v>0</v>
      </c>
      <c r="N64" s="583">
        <f>D54*N20/GBDNZ!D18</f>
        <v>0</v>
      </c>
      <c r="O64" s="584">
        <f>C54*O20/GBDNZ!D10</f>
        <v>28.969849175082643</v>
      </c>
      <c r="P64" s="586">
        <f>D54*P20/GBDNZ!D18</f>
        <v>19.907124417619325</v>
      </c>
      <c r="Q64" s="584">
        <f>C54*Q20/GBDNZ!D10</f>
        <v>2.9435702176209873</v>
      </c>
      <c r="R64" s="586">
        <f>D54*R20/GBDNZ!D18</f>
        <v>2.2221410086529128</v>
      </c>
      <c r="S64" s="584">
        <f>C54*S20/GBDNZ!D10</f>
        <v>1.3778652448361763</v>
      </c>
      <c r="T64" s="586">
        <f>D54*T20/GBDNZ!D18</f>
        <v>2.2281078795246096</v>
      </c>
      <c r="U64" s="584">
        <f>C54*U20/GBDNZ!D10</f>
        <v>0</v>
      </c>
      <c r="V64" s="586">
        <f>D54*V20/GBDNZ!D18</f>
        <v>0</v>
      </c>
      <c r="W64" s="584">
        <f>C54*W20/GBDNZ!D10</f>
        <v>0</v>
      </c>
      <c r="X64" s="586">
        <f>D54*X20/GBDNZ!D18</f>
        <v>0</v>
      </c>
      <c r="Y64" s="584">
        <f>C54*Y20/GBDNZ!D10</f>
        <v>0</v>
      </c>
      <c r="Z64" s="586">
        <f>D54*Z20/GBDNZ!D18</f>
        <v>0</v>
      </c>
      <c r="AA64" s="584">
        <f>C54*AA20/GBDNZ!D10</f>
        <v>0</v>
      </c>
      <c r="AB64" s="586">
        <f>D54*AB20/GBDNZ!D18</f>
        <v>0</v>
      </c>
      <c r="AC64" s="584">
        <f>C54*AC20/GBDNZ!D10</f>
        <v>88.869344923902943</v>
      </c>
      <c r="AD64" s="586">
        <f>D54*AD20/GBDNZ!D18</f>
        <v>72.887702265535907</v>
      </c>
      <c r="AE64" s="584">
        <f>C54*AE20/GBDNZ!D10</f>
        <v>164.10807945170487</v>
      </c>
      <c r="AF64" s="586">
        <f>D54*AF20/GBDNZ!D18</f>
        <v>99.355227039628701</v>
      </c>
      <c r="AG64" s="232"/>
    </row>
    <row r="65" spans="1:33" s="545" customFormat="1" ht="12.75" customHeight="1" x14ac:dyDescent="0.3">
      <c r="A65" s="983"/>
      <c r="B65" s="955" t="s">
        <v>72</v>
      </c>
      <c r="C65" s="956"/>
      <c r="D65" s="1001"/>
      <c r="E65" s="223">
        <f t="shared" ref="E65:AB65" si="43">SUM(E57:E64)</f>
        <v>0</v>
      </c>
      <c r="F65" s="270">
        <f t="shared" si="43"/>
        <v>10.327373275530469</v>
      </c>
      <c r="G65" s="223">
        <f t="shared" si="43"/>
        <v>18.561772062417269</v>
      </c>
      <c r="H65" s="270">
        <f t="shared" si="43"/>
        <v>10.613069517250642</v>
      </c>
      <c r="I65" s="223">
        <f t="shared" si="43"/>
        <v>34.867013636707256</v>
      </c>
      <c r="J65" s="270">
        <f t="shared" si="43"/>
        <v>45.614242842229601</v>
      </c>
      <c r="K65" s="223">
        <f t="shared" si="43"/>
        <v>121.13761645071739</v>
      </c>
      <c r="L65" s="270">
        <f t="shared" si="43"/>
        <v>71.227553979870962</v>
      </c>
      <c r="M65" s="223">
        <f t="shared" si="43"/>
        <v>0</v>
      </c>
      <c r="N65" s="270">
        <f t="shared" si="43"/>
        <v>0</v>
      </c>
      <c r="O65" s="223">
        <f t="shared" si="43"/>
        <v>37.504475181211134</v>
      </c>
      <c r="P65" s="270">
        <f t="shared" si="43"/>
        <v>29.29521086097704</v>
      </c>
      <c r="Q65" s="223">
        <f t="shared" si="43"/>
        <v>13.069072086558059</v>
      </c>
      <c r="R65" s="270">
        <f t="shared" si="43"/>
        <v>11.138691377456354</v>
      </c>
      <c r="S65" s="223">
        <f t="shared" si="43"/>
        <v>3.1785081602952845</v>
      </c>
      <c r="T65" s="270">
        <f t="shared" si="43"/>
        <v>4.2773076009530646</v>
      </c>
      <c r="U65" s="223">
        <f t="shared" si="43"/>
        <v>0</v>
      </c>
      <c r="V65" s="270">
        <f t="shared" si="43"/>
        <v>0</v>
      </c>
      <c r="W65" s="223">
        <f t="shared" si="43"/>
        <v>0</v>
      </c>
      <c r="X65" s="270">
        <f t="shared" si="43"/>
        <v>0</v>
      </c>
      <c r="Y65" s="223">
        <f t="shared" si="43"/>
        <v>0</v>
      </c>
      <c r="Z65" s="270">
        <f t="shared" si="43"/>
        <v>0</v>
      </c>
      <c r="AA65" s="223">
        <f t="shared" si="43"/>
        <v>0</v>
      </c>
      <c r="AB65" s="270">
        <f t="shared" si="43"/>
        <v>0</v>
      </c>
      <c r="AC65" s="223">
        <f t="shared" ref="AC65:AF65" si="44">SUM(AC57:AC64)</f>
        <v>228.31845757790637</v>
      </c>
      <c r="AD65" s="270">
        <f t="shared" si="44"/>
        <v>182.49344945426813</v>
      </c>
      <c r="AE65" s="223">
        <f t="shared" si="44"/>
        <v>316.81452740860482</v>
      </c>
      <c r="AF65" s="222">
        <f t="shared" si="44"/>
        <v>249.9966823993654</v>
      </c>
      <c r="AG65" s="232">
        <f>AC65+AD65</f>
        <v>410.81190703217453</v>
      </c>
    </row>
    <row r="66" spans="1:33" s="545" customFormat="1" ht="15" thickBot="1" x14ac:dyDescent="0.4">
      <c r="A66" s="990"/>
      <c r="B66" s="996"/>
      <c r="C66" s="1002"/>
      <c r="D66" s="1003"/>
      <c r="E66" s="975">
        <f t="shared" ref="E66:AE66" si="45">E22</f>
        <v>4.0129939575309716E-4</v>
      </c>
      <c r="F66" s="966"/>
      <c r="G66" s="965">
        <f t="shared" si="45"/>
        <v>5.7354059914204066E-4</v>
      </c>
      <c r="H66" s="966"/>
      <c r="I66" s="965">
        <f t="shared" si="45"/>
        <v>1.4239394083066645E-3</v>
      </c>
      <c r="J66" s="966"/>
      <c r="K66" s="975">
        <f t="shared" si="45"/>
        <v>1.2085656453146769E-3</v>
      </c>
      <c r="L66" s="966"/>
      <c r="M66" s="965">
        <f t="shared" si="45"/>
        <v>0</v>
      </c>
      <c r="N66" s="966"/>
      <c r="O66" s="965">
        <f t="shared" si="45"/>
        <v>1.1844924692074933E-3</v>
      </c>
      <c r="P66" s="966"/>
      <c r="Q66" s="965">
        <f t="shared" si="45"/>
        <v>1.3383861605330903E-3</v>
      </c>
      <c r="R66" s="966"/>
      <c r="S66" s="965">
        <f t="shared" si="45"/>
        <v>1.1973242002198019E-3</v>
      </c>
      <c r="T66" s="966"/>
      <c r="U66" s="965">
        <f t="shared" si="45"/>
        <v>0</v>
      </c>
      <c r="V66" s="966"/>
      <c r="W66" s="965">
        <f t="shared" si="45"/>
        <v>0</v>
      </c>
      <c r="X66" s="966"/>
      <c r="Y66" s="965">
        <f t="shared" si="45"/>
        <v>0</v>
      </c>
      <c r="Z66" s="966"/>
      <c r="AA66" s="965">
        <f t="shared" si="45"/>
        <v>0</v>
      </c>
      <c r="AB66" s="966"/>
      <c r="AC66" s="967">
        <f t="shared" si="45"/>
        <v>3.9266682465668399E-4</v>
      </c>
      <c r="AD66" s="968"/>
      <c r="AE66" s="967">
        <f t="shared" si="45"/>
        <v>4.7416839435316115E-4</v>
      </c>
      <c r="AF66" s="964"/>
      <c r="AG66" s="232"/>
    </row>
    <row r="67" spans="1:33" s="545" customFormat="1" ht="12.75" customHeight="1" x14ac:dyDescent="0.3">
      <c r="A67" s="982" t="s">
        <v>77</v>
      </c>
      <c r="B67" s="572" t="s">
        <v>2</v>
      </c>
      <c r="C67" s="580"/>
      <c r="D67" s="575"/>
      <c r="E67" s="588">
        <f>C47*E23/GBDNZ!D3</f>
        <v>0</v>
      </c>
      <c r="F67" s="589">
        <f>D47*F23/GBDNZ!D11</f>
        <v>0</v>
      </c>
      <c r="G67" s="581">
        <f>C47*G23/GBDNZ!D3</f>
        <v>0</v>
      </c>
      <c r="H67" s="585">
        <f>D47*H23/GBDNZ!D11</f>
        <v>0</v>
      </c>
      <c r="I67" s="581">
        <f>C47*I3/GBDNZ!D3</f>
        <v>0</v>
      </c>
      <c r="J67" s="585">
        <f>D47*J23/GBDNZ!D11</f>
        <v>0</v>
      </c>
      <c r="K67" s="581">
        <f>C47*K23/GBDNZ!D3</f>
        <v>0</v>
      </c>
      <c r="L67" s="585">
        <f>D47*L23/GBDNZ!D11</f>
        <v>0</v>
      </c>
      <c r="M67" s="581">
        <f>C47*M23/GBDNZ!D3</f>
        <v>0</v>
      </c>
      <c r="N67" s="585">
        <f>D47*N23/GBDNZ!D11</f>
        <v>0</v>
      </c>
      <c r="O67" s="581">
        <f>C47*O23/GBDNZ!D3</f>
        <v>0</v>
      </c>
      <c r="P67" s="589">
        <f>D47*P23/GBDNZ!D11</f>
        <v>0</v>
      </c>
      <c r="Q67" s="581">
        <f>C47*Q23/GBDNZ!D3</f>
        <v>0</v>
      </c>
      <c r="R67" s="585">
        <f>D47*R23/GBDNZ!D11</f>
        <v>0</v>
      </c>
      <c r="S67" s="581">
        <f>C47*S23/GBDNZ!D3</f>
        <v>0</v>
      </c>
      <c r="T67" s="585">
        <f>D47*T23/GBDNZ!D11</f>
        <v>0</v>
      </c>
      <c r="U67" s="581">
        <f>C47*U23/GBDNZ!D3</f>
        <v>0</v>
      </c>
      <c r="V67" s="585">
        <f>D47*V23/GBDNZ!D11</f>
        <v>0</v>
      </c>
      <c r="W67" s="581">
        <f>C47*W23/GBDNZ!D3</f>
        <v>0</v>
      </c>
      <c r="X67" s="585">
        <f>D47*X23/GBDNZ!D11</f>
        <v>0</v>
      </c>
      <c r="Y67" s="581">
        <f>C47*Y23/GBDNZ!D3</f>
        <v>0</v>
      </c>
      <c r="Z67" s="585">
        <f>D47*Z23/GBDNZ!D11</f>
        <v>0</v>
      </c>
      <c r="AA67" s="581">
        <f>C47*AA23/GBDNZ!D3</f>
        <v>0</v>
      </c>
      <c r="AB67" s="585">
        <f>D47*AB23/GBDNZ!D11</f>
        <v>0</v>
      </c>
      <c r="AC67" s="581">
        <f>C47*AC23/GBDNZ!D3</f>
        <v>0</v>
      </c>
      <c r="AD67" s="585">
        <f>D47*AD23/GBDNZ!D11</f>
        <v>0</v>
      </c>
      <c r="AE67" s="581">
        <f>C47*AE23/GBDNZ!D3</f>
        <v>0</v>
      </c>
      <c r="AF67" s="581">
        <f>D47*AF23/GBDNZ!D11</f>
        <v>0</v>
      </c>
      <c r="AG67" s="232"/>
    </row>
    <row r="68" spans="1:33" s="545" customFormat="1" ht="12.75" customHeight="1" x14ac:dyDescent="0.3">
      <c r="A68" s="983"/>
      <c r="B68" s="571" t="s">
        <v>3</v>
      </c>
      <c r="C68" s="573"/>
      <c r="D68" s="575"/>
      <c r="E68" s="582">
        <f>C48*E24/GBDNZ!D4</f>
        <v>0</v>
      </c>
      <c r="F68" s="585">
        <f>D48*F24/GBDNZ!D12</f>
        <v>0</v>
      </c>
      <c r="G68" s="581">
        <f>C48*G24/GBDNZ!D4</f>
        <v>0</v>
      </c>
      <c r="H68" s="585">
        <f>D48*H24/GBDNZ!D12</f>
        <v>0</v>
      </c>
      <c r="I68" s="581">
        <f>C48*I4/GBDNZ!D4</f>
        <v>0</v>
      </c>
      <c r="J68" s="585">
        <f>D48*J24/GBDNZ!D12</f>
        <v>0</v>
      </c>
      <c r="K68" s="581">
        <f>C48*K24/GBDNZ!D4</f>
        <v>0</v>
      </c>
      <c r="L68" s="585">
        <f>D48*L24/GBDNZ!D12</f>
        <v>0</v>
      </c>
      <c r="M68" s="581">
        <f>C48*M24/GBDNZ!D4</f>
        <v>0</v>
      </c>
      <c r="N68" s="585">
        <f>D48*N24/GBDNZ!D12</f>
        <v>0</v>
      </c>
      <c r="O68" s="581">
        <f>C48*O24/GBDNZ!D4</f>
        <v>0</v>
      </c>
      <c r="P68" s="585">
        <f>D48*P24/GBDNZ!D12</f>
        <v>0</v>
      </c>
      <c r="Q68" s="581">
        <f>C48*Q24/GBDNZ!D4</f>
        <v>0</v>
      </c>
      <c r="R68" s="585">
        <f>D48*R24/GBDNZ!D12</f>
        <v>0</v>
      </c>
      <c r="S68" s="581">
        <f>C48*S24/GBDNZ!D4</f>
        <v>0</v>
      </c>
      <c r="T68" s="585">
        <f>D48*T24/GBDNZ!D12</f>
        <v>0</v>
      </c>
      <c r="U68" s="581">
        <f>C48*U24/GBDNZ!D4</f>
        <v>0</v>
      </c>
      <c r="V68" s="585">
        <f>D48*V24/GBDNZ!D12</f>
        <v>0</v>
      </c>
      <c r="W68" s="581">
        <f>C48*W24/GBDNZ!D4</f>
        <v>0</v>
      </c>
      <c r="X68" s="585">
        <f>D48*X24/GBDNZ!D12</f>
        <v>0</v>
      </c>
      <c r="Y68" s="581">
        <f>C48*Y24/GBDNZ!D4</f>
        <v>0</v>
      </c>
      <c r="Z68" s="585">
        <f>D48*Z24/GBDNZ!D12</f>
        <v>0</v>
      </c>
      <c r="AA68" s="581">
        <f>C48*AA24/GBDNZ!D4</f>
        <v>0</v>
      </c>
      <c r="AB68" s="585">
        <f>D48*AB24/GBDNZ!D12</f>
        <v>0</v>
      </c>
      <c r="AC68" s="581">
        <f>C48*AC24/GBDNZ!D4</f>
        <v>0</v>
      </c>
      <c r="AD68" s="585">
        <f>D48*AD24/GBDNZ!D12</f>
        <v>0</v>
      </c>
      <c r="AE68" s="581">
        <f>C48*AE24/GBDNZ!D4</f>
        <v>0</v>
      </c>
      <c r="AF68" s="581">
        <f>D48*AF24/GBDNZ!D12</f>
        <v>0</v>
      </c>
      <c r="AG68" s="232"/>
    </row>
    <row r="69" spans="1:33" s="545" customFormat="1" ht="12.75" customHeight="1" x14ac:dyDescent="0.3">
      <c r="A69" s="983"/>
      <c r="B69" s="571" t="s">
        <v>4</v>
      </c>
      <c r="C69" s="573"/>
      <c r="D69" s="575"/>
      <c r="E69" s="582">
        <f>C49*E25/GBDNZ!D5</f>
        <v>0</v>
      </c>
      <c r="F69" s="585">
        <f>D49*F25/GBDNZ!D13</f>
        <v>2.2618104958413098E-3</v>
      </c>
      <c r="G69" s="581">
        <f>C49*G25/GBDNZ!D5</f>
        <v>1.1654571632928354E-3</v>
      </c>
      <c r="H69" s="585">
        <f>D49*H25/GBDNZ!D13</f>
        <v>8.6976504628728454E-4</v>
      </c>
      <c r="I69" s="581">
        <f>C49*I5/GBDNZ!D5</f>
        <v>2.9143368401395881E-3</v>
      </c>
      <c r="J69" s="585">
        <f>D49*J25/GBDNZ!D13</f>
        <v>3.8731870486181569E-2</v>
      </c>
      <c r="K69" s="581">
        <f>C49*K25/GBDNZ!D5</f>
        <v>1.6121185286039831E-3</v>
      </c>
      <c r="L69" s="585">
        <f>D49*L25/GBDNZ!D13</f>
        <v>1.7824895683804796E-3</v>
      </c>
      <c r="M69" s="581">
        <f>C49*M25/GBDNZ!D5</f>
        <v>0.93486465112171824</v>
      </c>
      <c r="N69" s="585">
        <f>D49*N25/GBDNZ!D13</f>
        <v>2.0479595777553214</v>
      </c>
      <c r="O69" s="581">
        <f>C49*O25/GBDNZ!D5</f>
        <v>0</v>
      </c>
      <c r="P69" s="585">
        <f>D49*P25/GBDNZ!D13</f>
        <v>0</v>
      </c>
      <c r="Q69" s="581">
        <f>C49*Q25/GBDNZ!D5</f>
        <v>0.48252595091457162</v>
      </c>
      <c r="R69" s="585">
        <f>D49*R25/GBDNZ!D13</f>
        <v>0.54552657096738633</v>
      </c>
      <c r="S69" s="581">
        <f>C49*S25/GBDNZ!D5</f>
        <v>1.0300447039231395E-3</v>
      </c>
      <c r="T69" s="585">
        <f>D49*T25/GBDNZ!D13</f>
        <v>1.9530566125104004E-3</v>
      </c>
      <c r="U69" s="581">
        <f>C49*U25/GBDNZ!D5</f>
        <v>0</v>
      </c>
      <c r="V69" s="585">
        <f>D49*V25/GBDNZ!D13</f>
        <v>0</v>
      </c>
      <c r="W69" s="581">
        <f>C49*W25/GBDNZ!D5</f>
        <v>0</v>
      </c>
      <c r="X69" s="585">
        <f>D49*X25/GBDNZ!D13</f>
        <v>0</v>
      </c>
      <c r="Y69" s="581">
        <f>C49*Y25/GBDNZ!D5</f>
        <v>0</v>
      </c>
      <c r="Z69" s="585">
        <f>D49*Z25/GBDNZ!D13</f>
        <v>0</v>
      </c>
      <c r="AA69" s="581">
        <f>C49*AA25/GBDNZ!D5</f>
        <v>0</v>
      </c>
      <c r="AB69" s="585">
        <f>D49*AB25/GBDNZ!D13</f>
        <v>0</v>
      </c>
      <c r="AC69" s="581">
        <f>C49*AC25/GBDNZ!D5</f>
        <v>1.4668096063568419</v>
      </c>
      <c r="AD69" s="585">
        <f>D49*AD25/GBDNZ!D13</f>
        <v>2.6390851409319089</v>
      </c>
      <c r="AE69" s="581">
        <f>C49*AE25/GBDNZ!D5</f>
        <v>0</v>
      </c>
      <c r="AF69" s="581">
        <f>D49*AF25/GBDNZ!D13</f>
        <v>0</v>
      </c>
      <c r="AG69" s="232"/>
    </row>
    <row r="70" spans="1:33" s="545" customFormat="1" ht="12.75" customHeight="1" x14ac:dyDescent="0.3">
      <c r="A70" s="983"/>
      <c r="B70" s="571" t="s">
        <v>5</v>
      </c>
      <c r="C70" s="573"/>
      <c r="D70" s="575"/>
      <c r="E70" s="582">
        <f>C50*E26/GBDNZ!D6</f>
        <v>0</v>
      </c>
      <c r="F70" s="585">
        <f>D50*F26/GBDNZ!D14</f>
        <v>3.1010853177490871E-2</v>
      </c>
      <c r="G70" s="581">
        <f>C50*G26/GBDNZ!D6</f>
        <v>4.0493565094992549E-3</v>
      </c>
      <c r="H70" s="585">
        <f>D50*H26/GBDNZ!D14</f>
        <v>6.6611861167748905E-3</v>
      </c>
      <c r="I70" s="581">
        <f>C50*I6/GBDNZ!D6</f>
        <v>5.7209892213177524E-3</v>
      </c>
      <c r="J70" s="585">
        <f>D50*J26/GBDNZ!D14</f>
        <v>1.6519201794738347</v>
      </c>
      <c r="K70" s="581">
        <f>C50*K26/GBDNZ!D6</f>
        <v>7.1082683399342015E-3</v>
      </c>
      <c r="L70" s="585">
        <f>D50*L26/GBDNZ!D14</f>
        <v>0.18758758967923006</v>
      </c>
      <c r="M70" s="581">
        <f>C50*M26/GBDNZ!D6</f>
        <v>0.83955138281185682</v>
      </c>
      <c r="N70" s="585">
        <f>D50*N26/GBDNZ!D14</f>
        <v>2.9615849799390874</v>
      </c>
      <c r="O70" s="581">
        <f>C50*O26/GBDNZ!D6</f>
        <v>5.1765256983129181E-4</v>
      </c>
      <c r="P70" s="585">
        <f>D50*P26/GBDNZ!D14</f>
        <v>1.2555364015640392E-3</v>
      </c>
      <c r="Q70" s="581">
        <f>C50*Q26/GBDNZ!D6</f>
        <v>0.50509434603607728</v>
      </c>
      <c r="R70" s="585">
        <f>D50*R26/GBDNZ!D14</f>
        <v>19.844526605852963</v>
      </c>
      <c r="S70" s="581">
        <f>C50*S26/GBDNZ!D6</f>
        <v>1.3491989136318505E-3</v>
      </c>
      <c r="T70" s="585">
        <f>D50*T26/GBDNZ!D14</f>
        <v>6.2571571236936796E-2</v>
      </c>
      <c r="U70" s="581">
        <f>C50*U26/GBDNZ!D6</f>
        <v>0</v>
      </c>
      <c r="V70" s="585">
        <f>D50*V26/GBDNZ!D14</f>
        <v>0</v>
      </c>
      <c r="W70" s="581">
        <f>C50*W26/GBDNZ!D6</f>
        <v>0</v>
      </c>
      <c r="X70" s="585">
        <f>D50*X26/GBDNZ!D14</f>
        <v>0</v>
      </c>
      <c r="Y70" s="581">
        <f>C50*Y26/GBDNZ!D6</f>
        <v>0</v>
      </c>
      <c r="Z70" s="585">
        <f>D50*Z26/GBDNZ!D14</f>
        <v>0</v>
      </c>
      <c r="AA70" s="581">
        <f>C50*AA26/GBDNZ!D6</f>
        <v>0</v>
      </c>
      <c r="AB70" s="585">
        <f>D50*AB26/GBDNZ!D14</f>
        <v>0</v>
      </c>
      <c r="AC70" s="581">
        <f>C50*AC26/GBDNZ!D6</f>
        <v>1.4085917589926835</v>
      </c>
      <c r="AD70" s="585">
        <f>D50*AD26/GBDNZ!D14</f>
        <v>24.747118501877878</v>
      </c>
      <c r="AE70" s="581">
        <f>C50*AE26/GBDNZ!D6</f>
        <v>0</v>
      </c>
      <c r="AF70" s="581">
        <f>D50*AF26/GBDNZ!D14</f>
        <v>0</v>
      </c>
      <c r="AG70" s="232"/>
    </row>
    <row r="71" spans="1:33" s="545" customFormat="1" ht="12.75" customHeight="1" x14ac:dyDescent="0.3">
      <c r="A71" s="983"/>
      <c r="B71" s="571" t="s">
        <v>6</v>
      </c>
      <c r="C71" s="573"/>
      <c r="D71" s="575"/>
      <c r="E71" s="582">
        <f>C51*E27/GBDNZ!D7</f>
        <v>0</v>
      </c>
      <c r="F71" s="585">
        <f>D51*F27/GBDNZ!D15</f>
        <v>0.15154135561637155</v>
      </c>
      <c r="G71" s="581">
        <f>C51*G27/GBDNZ!D7</f>
        <v>1.2950555103920161E-2</v>
      </c>
      <c r="H71" s="585">
        <f>D51*H27/GBDNZ!D15</f>
        <v>3.8832470165298484E-2</v>
      </c>
      <c r="I71" s="581">
        <f>C51*I7/GBDNZ!D7</f>
        <v>1.5423670111425774E-2</v>
      </c>
      <c r="J71" s="585">
        <f>D51*J27/GBDNZ!D15</f>
        <v>0.3772266209247282</v>
      </c>
      <c r="K71" s="581">
        <f>C51*K27/GBDNZ!D7</f>
        <v>0.11939608686728319</v>
      </c>
      <c r="L71" s="585">
        <f>D51*L27/GBDNZ!D15</f>
        <v>0.38270558205251243</v>
      </c>
      <c r="M71" s="581">
        <f>C51*M27/GBDNZ!D7</f>
        <v>0.39752314389796917</v>
      </c>
      <c r="N71" s="585">
        <f>D51*N27/GBDNZ!D15</f>
        <v>3.3741603829868461</v>
      </c>
      <c r="O71" s="581">
        <f>C51*O27/GBDNZ!D7</f>
        <v>1.8673206458732713E-2</v>
      </c>
      <c r="P71" s="585">
        <f>D51*P27/GBDNZ!D15</f>
        <v>0.11467662066466362</v>
      </c>
      <c r="Q71" s="581">
        <f>C51*Q27/GBDNZ!D7</f>
        <v>0.88167834328926931</v>
      </c>
      <c r="R71" s="585">
        <f>D51*R27/GBDNZ!D15</f>
        <v>3.8110083734981788</v>
      </c>
      <c r="S71" s="581">
        <f>C51*S27/GBDNZ!D7</f>
        <v>7.0729991475521233E-3</v>
      </c>
      <c r="T71" s="585">
        <f>D51*T27/GBDNZ!D15</f>
        <v>1.7274352415131117E-2</v>
      </c>
      <c r="U71" s="581">
        <f>C51*U27/GBDNZ!D7</f>
        <v>0</v>
      </c>
      <c r="V71" s="585">
        <f>D51*V27/GBDNZ!D15</f>
        <v>0</v>
      </c>
      <c r="W71" s="581">
        <f>C51*W27/GBDNZ!D7</f>
        <v>0</v>
      </c>
      <c r="X71" s="585">
        <f>D51*X27/GBDNZ!D15</f>
        <v>0</v>
      </c>
      <c r="Y71" s="581">
        <f>C51*Y27/GBDNZ!D7</f>
        <v>0</v>
      </c>
      <c r="Z71" s="585">
        <f>D51*Z27/GBDNZ!D15</f>
        <v>0</v>
      </c>
      <c r="AA71" s="581">
        <f>C51*AA27/GBDNZ!D7</f>
        <v>0</v>
      </c>
      <c r="AB71" s="585">
        <f>D51*AB27/GBDNZ!D15</f>
        <v>0</v>
      </c>
      <c r="AC71" s="581">
        <f>C51*AC27/GBDNZ!D7</f>
        <v>1.5390349873848153</v>
      </c>
      <c r="AD71" s="585">
        <f>D51*AD27/GBDNZ!D15</f>
        <v>8.2674257583237303</v>
      </c>
      <c r="AE71" s="581">
        <f>C51*AE27/GBDNZ!D7</f>
        <v>0</v>
      </c>
      <c r="AF71" s="581">
        <f>D51*AF27/GBDNZ!D15</f>
        <v>0</v>
      </c>
      <c r="AG71" s="232"/>
    </row>
    <row r="72" spans="1:33" s="545" customFormat="1" ht="12.75" customHeight="1" x14ac:dyDescent="0.3">
      <c r="A72" s="983"/>
      <c r="B72" s="571" t="s">
        <v>7</v>
      </c>
      <c r="C72" s="573"/>
      <c r="D72" s="575"/>
      <c r="E72" s="582">
        <f>C52*E28/GBDNZ!D8</f>
        <v>0</v>
      </c>
      <c r="F72" s="585">
        <f>D52*F28/GBDNZ!D16</f>
        <v>0.30836469016699836</v>
      </c>
      <c r="G72" s="581">
        <f>C52*G28/GBDNZ!D8</f>
        <v>0.18074166162848193</v>
      </c>
      <c r="H72" s="585">
        <f>D52*H28/GBDNZ!D16</f>
        <v>0.14476513625526718</v>
      </c>
      <c r="I72" s="581">
        <f>C52*I8/GBDNZ!D8</f>
        <v>0.25032619073630308</v>
      </c>
      <c r="J72" s="585">
        <f>D52*J28/GBDNZ!D16</f>
        <v>0.68139816367167361</v>
      </c>
      <c r="K72" s="581">
        <f>C52*K28/GBDNZ!D8</f>
        <v>1.8293027892603653</v>
      </c>
      <c r="L72" s="585">
        <f>D52*L28/GBDNZ!D16</f>
        <v>1.0500796111605966</v>
      </c>
      <c r="M72" s="581">
        <f>C52*M28/GBDNZ!D8</f>
        <v>1.5083238598303295</v>
      </c>
      <c r="N72" s="585">
        <f>D52*N28/GBDNZ!D16</f>
        <v>3.8058847844581902</v>
      </c>
      <c r="O72" s="581">
        <f>C52*O28/GBDNZ!D8</f>
        <v>0.53877715327214792</v>
      </c>
      <c r="P72" s="585">
        <f>D52*P28/GBDNZ!D16</f>
        <v>1.047319665810359</v>
      </c>
      <c r="Q72" s="581">
        <f>C52*Q28/GBDNZ!D8</f>
        <v>5.2769975440737822</v>
      </c>
      <c r="R72" s="585">
        <f>D52*R28/GBDNZ!D16</f>
        <v>4.5175663109952149</v>
      </c>
      <c r="S72" s="581">
        <f>C52*S28/GBDNZ!D8</f>
        <v>5.8636647736573462E-2</v>
      </c>
      <c r="T72" s="585">
        <f>D52*T28/GBDNZ!D16</f>
        <v>3.7893600800210238E-2</v>
      </c>
      <c r="U72" s="581">
        <f>C52*U28/GBDNZ!D8</f>
        <v>0</v>
      </c>
      <c r="V72" s="585">
        <f>D52*V28/GBDNZ!D16</f>
        <v>0</v>
      </c>
      <c r="W72" s="581">
        <f>C52*W28/GBDNZ!D8</f>
        <v>0</v>
      </c>
      <c r="X72" s="585">
        <f>D52*X28/GBDNZ!D16</f>
        <v>0</v>
      </c>
      <c r="Y72" s="581">
        <f>C52*Y28/GBDNZ!D8</f>
        <v>0</v>
      </c>
      <c r="Z72" s="585">
        <f>D52*Z28/GBDNZ!D16</f>
        <v>0</v>
      </c>
      <c r="AA72" s="581">
        <f>C52*AA28/GBDNZ!D8</f>
        <v>0</v>
      </c>
      <c r="AB72" s="585">
        <f>D52*AB28/GBDNZ!D16</f>
        <v>0</v>
      </c>
      <c r="AC72" s="581">
        <f>C52*AC28/GBDNZ!D8</f>
        <v>10.396729905708998</v>
      </c>
      <c r="AD72" s="585">
        <f>D52*AD28/GBDNZ!D16</f>
        <v>11.593271963318509</v>
      </c>
      <c r="AE72" s="581">
        <f>C52*AE28/GBDNZ!D8</f>
        <v>0</v>
      </c>
      <c r="AF72" s="581">
        <f>D52*AF28/GBDNZ!D16</f>
        <v>0</v>
      </c>
      <c r="AG72" s="232"/>
    </row>
    <row r="73" spans="1:33" s="545" customFormat="1" ht="12.75" customHeight="1" x14ac:dyDescent="0.3">
      <c r="A73" s="983"/>
      <c r="B73" s="571" t="s">
        <v>8</v>
      </c>
      <c r="C73" s="573"/>
      <c r="D73" s="575"/>
      <c r="E73" s="582">
        <f>C53*E29/GBDNZ!D9</f>
        <v>0</v>
      </c>
      <c r="F73" s="585">
        <f>D53*F29/GBDNZ!D17</f>
        <v>0.45388711082246752</v>
      </c>
      <c r="G73" s="581">
        <f>C53*G29/GBDNZ!D9</f>
        <v>0.63052278621510427</v>
      </c>
      <c r="H73" s="585">
        <f>D53*H29/GBDNZ!D17</f>
        <v>0.32943947553785713</v>
      </c>
      <c r="I73" s="581">
        <f>C53*I9/GBDNZ!D9</f>
        <v>0.9648733602271915</v>
      </c>
      <c r="J73" s="585">
        <f>D53*J29/GBDNZ!D17</f>
        <v>0.56281594949925107</v>
      </c>
      <c r="K73" s="581">
        <f>C53*K29/GBDNZ!D9</f>
        <v>2.6779452524077634</v>
      </c>
      <c r="L73" s="585">
        <f>D53*L29/GBDNZ!D17</f>
        <v>0.85827982235927014</v>
      </c>
      <c r="M73" s="581">
        <f>C53*M29/GBDNZ!D9</f>
        <v>2.4333895288353964</v>
      </c>
      <c r="N73" s="585">
        <f>D53*N29/GBDNZ!D17</f>
        <v>4.2162206725281441</v>
      </c>
      <c r="O73" s="581">
        <f>C53*O29/GBDNZ!D9</f>
        <v>3.9478253455283574</v>
      </c>
      <c r="P73" s="585">
        <f>D53*P29/GBDNZ!D17</f>
        <v>6.5352380527659717</v>
      </c>
      <c r="Q73" s="581">
        <f>C53*Q29/GBDNZ!D9</f>
        <v>5.4548102899094868</v>
      </c>
      <c r="R73" s="585">
        <f>D53*R29/GBDNZ!D17</f>
        <v>2.8788322237894213</v>
      </c>
      <c r="S73" s="581">
        <f>C53*S29/GBDNZ!D9</f>
        <v>8.8208715425404358E-2</v>
      </c>
      <c r="T73" s="585">
        <f>D53*T29/GBDNZ!D17</f>
        <v>4.0765070694655722E-2</v>
      </c>
      <c r="U73" s="581">
        <f>C53*U29/GBDNZ!D9</f>
        <v>0</v>
      </c>
      <c r="V73" s="585">
        <f>D53*V29/GBDNZ!D17</f>
        <v>0</v>
      </c>
      <c r="W73" s="581">
        <f>C53*W29/GBDNZ!D9</f>
        <v>0</v>
      </c>
      <c r="X73" s="585">
        <f>D53*X29/GBDNZ!D17</f>
        <v>0</v>
      </c>
      <c r="Y73" s="581">
        <f>C53*Y29/GBDNZ!D9</f>
        <v>0</v>
      </c>
      <c r="Z73" s="585">
        <f>D53*Z29/GBDNZ!D17</f>
        <v>0</v>
      </c>
      <c r="AA73" s="581">
        <f>C53*AA29/GBDNZ!D9</f>
        <v>0</v>
      </c>
      <c r="AB73" s="585">
        <f>D53*AB29/GBDNZ!D17</f>
        <v>0</v>
      </c>
      <c r="AC73" s="581">
        <f>C53*AC29/GBDNZ!D9</f>
        <v>16.829298266136988</v>
      </c>
      <c r="AD73" s="585">
        <f>D53*AD29/GBDNZ!D17</f>
        <v>15.875478377997039</v>
      </c>
      <c r="AE73" s="581">
        <f>C53*AE29/GBDNZ!D9</f>
        <v>0</v>
      </c>
      <c r="AF73" s="581">
        <f>D53*AF29/GBDNZ!D17</f>
        <v>0</v>
      </c>
      <c r="AG73" s="232"/>
    </row>
    <row r="74" spans="1:33" s="545" customFormat="1" ht="12.75" customHeight="1" x14ac:dyDescent="0.3">
      <c r="A74" s="983"/>
      <c r="B74" s="570" t="s">
        <v>9</v>
      </c>
      <c r="C74" s="574"/>
      <c r="D74" s="575"/>
      <c r="E74" s="584">
        <f>C54*E30/GBDNZ!D10</f>
        <v>0</v>
      </c>
      <c r="F74" s="586">
        <f>D54*F30/GBDNZ!D18</f>
        <v>0.3235579188711043</v>
      </c>
      <c r="G74" s="584">
        <f>C54*G30/GBDNZ!D10</f>
        <v>0.63178740255454902</v>
      </c>
      <c r="H74" s="586">
        <f>D54*H30/GBDNZ!D18</f>
        <v>0.26480509623561999</v>
      </c>
      <c r="I74" s="583">
        <f>C54*I10/GBDNZ!D10</f>
        <v>2.0962821192040852</v>
      </c>
      <c r="J74" s="586">
        <f>D54*J30/GBDNZ!D18</f>
        <v>0.61753623155931125</v>
      </c>
      <c r="K74" s="583">
        <f>C54*K30/GBDNZ!D10</f>
        <v>1.4495789668026027</v>
      </c>
      <c r="L74" s="586">
        <f>D54*L30/GBDNZ!D18</f>
        <v>1.3058626405345501</v>
      </c>
      <c r="M74" s="583">
        <f>C54*M30/GBDNZ!D10</f>
        <v>1.6238148203933571</v>
      </c>
      <c r="N74" s="586">
        <f>D54*N30/GBDNZ!D18</f>
        <v>1.9259996216430477</v>
      </c>
      <c r="O74" s="583">
        <f>C54*O30/GBDNZ!D10</f>
        <v>14.410829714188473</v>
      </c>
      <c r="P74" s="586">
        <f>D54*P30/GBDNZ!D18</f>
        <v>18.573245532286087</v>
      </c>
      <c r="Q74" s="583">
        <f>C54*Q30/GBDNZ!D10</f>
        <v>2.9548408552076215</v>
      </c>
      <c r="R74" s="586">
        <f>D54*R30/GBDNZ!D18</f>
        <v>2.5090974444308944</v>
      </c>
      <c r="S74" s="583">
        <f>C54*S30/GBDNZ!D10</f>
        <v>5.5770555421923627E-2</v>
      </c>
      <c r="T74" s="586">
        <f>D54*T30/GBDNZ!D18</f>
        <v>5.4134166462770146E-2</v>
      </c>
      <c r="U74" s="583">
        <f>C54*U30/GBDNZ!D10</f>
        <v>0</v>
      </c>
      <c r="V74" s="586">
        <f>D54*V30/GBDNZ!D18</f>
        <v>0</v>
      </c>
      <c r="W74" s="583">
        <f>C54*W30/GBDNZ!D10</f>
        <v>0</v>
      </c>
      <c r="X74" s="586">
        <f>D54*X30/GBDNZ!D18</f>
        <v>0</v>
      </c>
      <c r="Y74" s="583">
        <f>C54*Y30/GBDNZ!D10</f>
        <v>0</v>
      </c>
      <c r="Z74" s="586">
        <f>D54*Z30/GBDNZ!D18</f>
        <v>0</v>
      </c>
      <c r="AA74" s="583">
        <f>C54*AA30/GBDNZ!D10</f>
        <v>0</v>
      </c>
      <c r="AB74" s="586">
        <f>D54*AB30/GBDNZ!D18</f>
        <v>0</v>
      </c>
      <c r="AC74" s="583">
        <f>C54*AC30/GBDNZ!D10</f>
        <v>22.023329582508875</v>
      </c>
      <c r="AD74" s="586">
        <f>D54*AD30/GBDNZ!D18</f>
        <v>25.574238652023386</v>
      </c>
      <c r="AE74" s="583">
        <f>C54*AE30/GBDNZ!D10</f>
        <v>0</v>
      </c>
      <c r="AF74" s="583">
        <f>D54*AF30/GBDNZ!D18</f>
        <v>0</v>
      </c>
      <c r="AG74" s="232"/>
    </row>
    <row r="75" spans="1:33" s="545" customFormat="1" ht="12.75" customHeight="1" x14ac:dyDescent="0.3">
      <c r="A75" s="983"/>
      <c r="B75" s="955" t="s">
        <v>72</v>
      </c>
      <c r="C75" s="1004"/>
      <c r="D75" s="957"/>
      <c r="E75" s="223">
        <f t="shared" ref="E75:AB75" si="46">SUM(E67:E74)</f>
        <v>0</v>
      </c>
      <c r="F75" s="223">
        <f t="shared" si="46"/>
        <v>1.2706237391502739</v>
      </c>
      <c r="G75" s="223">
        <f t="shared" si="46"/>
        <v>1.4612172191748476</v>
      </c>
      <c r="H75" s="223">
        <f t="shared" si="46"/>
        <v>0.78537312935710502</v>
      </c>
      <c r="I75" s="223">
        <f t="shared" si="46"/>
        <v>3.3355406663404628</v>
      </c>
      <c r="J75" s="223">
        <f t="shared" si="46"/>
        <v>3.9296290156149802</v>
      </c>
      <c r="K75" s="223">
        <f t="shared" si="46"/>
        <v>6.0849434822065529</v>
      </c>
      <c r="L75" s="223">
        <f t="shared" si="46"/>
        <v>3.7862977353545397</v>
      </c>
      <c r="M75" s="223">
        <f t="shared" si="46"/>
        <v>7.7374673868906276</v>
      </c>
      <c r="N75" s="223">
        <f t="shared" si="46"/>
        <v>18.331810019310637</v>
      </c>
      <c r="O75" s="223">
        <f t="shared" si="46"/>
        <v>18.916623072017543</v>
      </c>
      <c r="P75" s="223">
        <f t="shared" si="46"/>
        <v>26.271735407928645</v>
      </c>
      <c r="Q75" s="223">
        <f t="shared" si="46"/>
        <v>15.555947329430808</v>
      </c>
      <c r="R75" s="223">
        <f t="shared" si="46"/>
        <v>34.106557529534058</v>
      </c>
      <c r="S75" s="223">
        <f t="shared" si="46"/>
        <v>0.21206816134900855</v>
      </c>
      <c r="T75" s="223">
        <f t="shared" si="46"/>
        <v>0.2145918182222144</v>
      </c>
      <c r="U75" s="223">
        <f t="shared" si="46"/>
        <v>0</v>
      </c>
      <c r="V75" s="223">
        <f t="shared" si="46"/>
        <v>0</v>
      </c>
      <c r="W75" s="223">
        <f t="shared" si="46"/>
        <v>0</v>
      </c>
      <c r="X75" s="223">
        <f t="shared" si="46"/>
        <v>0</v>
      </c>
      <c r="Y75" s="223">
        <f t="shared" si="46"/>
        <v>0</v>
      </c>
      <c r="Z75" s="223">
        <f t="shared" si="46"/>
        <v>0</v>
      </c>
      <c r="AA75" s="223">
        <f t="shared" si="46"/>
        <v>0</v>
      </c>
      <c r="AB75" s="223">
        <f t="shared" si="46"/>
        <v>0</v>
      </c>
      <c r="AC75" s="223">
        <f t="shared" ref="AC75:AF75" si="47">SUM(AC67:AC74)</f>
        <v>53.663794107089203</v>
      </c>
      <c r="AD75" s="270">
        <f t="shared" si="47"/>
        <v>88.696618394472452</v>
      </c>
      <c r="AE75" s="223">
        <f t="shared" si="47"/>
        <v>0</v>
      </c>
      <c r="AF75" s="222">
        <f t="shared" si="47"/>
        <v>0</v>
      </c>
      <c r="AG75" s="232">
        <f>AC75+AD75</f>
        <v>142.36041250156165</v>
      </c>
    </row>
    <row r="76" spans="1:33" s="545" customFormat="1" ht="15" thickBot="1" x14ac:dyDescent="0.4">
      <c r="A76" s="990"/>
      <c r="B76" s="996"/>
      <c r="C76" s="1002"/>
      <c r="D76" s="1003"/>
      <c r="E76" s="975">
        <f t="shared" ref="E76:AE76" si="48">E32</f>
        <v>4.516023508914987E-4</v>
      </c>
      <c r="F76" s="966"/>
      <c r="G76" s="965">
        <f t="shared" si="48"/>
        <v>6.3078190774487944E-4</v>
      </c>
      <c r="H76" s="966"/>
      <c r="I76" s="969">
        <f t="shared" si="48"/>
        <v>1.6063327728201263E-3</v>
      </c>
      <c r="J76" s="970"/>
      <c r="K76" s="969">
        <f t="shared" si="48"/>
        <v>1.2443407729317653E-3</v>
      </c>
      <c r="L76" s="970"/>
      <c r="M76" s="969">
        <f t="shared" si="48"/>
        <v>4.2350777396155429E-4</v>
      </c>
      <c r="N76" s="970"/>
      <c r="O76" s="969">
        <f t="shared" si="48"/>
        <v>1.109751676674734E-3</v>
      </c>
      <c r="P76" s="970"/>
      <c r="Q76" s="969">
        <f t="shared" si="48"/>
        <v>1.8382215496598711E-3</v>
      </c>
      <c r="R76" s="970"/>
      <c r="S76" s="969">
        <f t="shared" si="48"/>
        <v>1.3823731104579118E-3</v>
      </c>
      <c r="T76" s="970"/>
      <c r="U76" s="969">
        <f t="shared" si="48"/>
        <v>0</v>
      </c>
      <c r="V76" s="970"/>
      <c r="W76" s="969">
        <f t="shared" si="48"/>
        <v>0</v>
      </c>
      <c r="X76" s="970"/>
      <c r="Y76" s="969">
        <f t="shared" si="48"/>
        <v>0</v>
      </c>
      <c r="Z76" s="970"/>
      <c r="AA76" s="969">
        <f t="shared" si="48"/>
        <v>0</v>
      </c>
      <c r="AB76" s="970"/>
      <c r="AC76" s="971">
        <f t="shared" si="48"/>
        <v>1.4107141459658687E-4</v>
      </c>
      <c r="AD76" s="972"/>
      <c r="AE76" s="971">
        <f t="shared" si="48"/>
        <v>0</v>
      </c>
      <c r="AF76" s="973"/>
      <c r="AG76" s="232"/>
    </row>
    <row r="77" spans="1:33" s="545" customFormat="1" ht="12.75" customHeight="1" x14ac:dyDescent="0.3">
      <c r="A77" s="982" t="s">
        <v>28</v>
      </c>
      <c r="B77" s="572" t="s">
        <v>2</v>
      </c>
      <c r="C77" s="580"/>
      <c r="D77" s="575"/>
      <c r="E77" s="588">
        <f>C47*E33/GBDNZ!D3</f>
        <v>0</v>
      </c>
      <c r="F77" s="589">
        <f>D47*F33/GBDNZ!D11</f>
        <v>0</v>
      </c>
      <c r="G77" s="581">
        <f>C47*G33/GBDNZ!D3</f>
        <v>0</v>
      </c>
      <c r="H77" s="581">
        <f>D47*H33/GBDNZ!D11</f>
        <v>0</v>
      </c>
      <c r="I77" s="588">
        <f>C47*I33/GBDNZ!D3</f>
        <v>0</v>
      </c>
      <c r="J77" s="589">
        <f>D47*J33/GBDNZ!D11</f>
        <v>0</v>
      </c>
      <c r="K77" s="588">
        <f>C47*K33/GBDNZ!D3</f>
        <v>0</v>
      </c>
      <c r="L77" s="589">
        <f>D47*L33/GBDNZ!D11</f>
        <v>0</v>
      </c>
      <c r="M77" s="588">
        <f>C47*M33/GBDNZ!D3</f>
        <v>0</v>
      </c>
      <c r="N77" s="589">
        <f>D47*N33/GBDNZ!D11</f>
        <v>0</v>
      </c>
      <c r="O77" s="588">
        <f>C47*O33/GBDNZ!D3</f>
        <v>0</v>
      </c>
      <c r="P77" s="589">
        <f>D47*P33/GBDNZ!D11</f>
        <v>0</v>
      </c>
      <c r="Q77" s="588">
        <f>C47*Q33/GBDNZ!D3</f>
        <v>0</v>
      </c>
      <c r="R77" s="589">
        <f>D47*R33/GBDNZ!D11</f>
        <v>0</v>
      </c>
      <c r="S77" s="588">
        <f>C47*S33/GBDNZ!D3</f>
        <v>0</v>
      </c>
      <c r="T77" s="589">
        <f>D47*T33/GBDNZ!D11</f>
        <v>0</v>
      </c>
      <c r="U77" s="588">
        <f>C47*U33/GBDNZ!D3</f>
        <v>0</v>
      </c>
      <c r="V77" s="589">
        <f>D47*V33/GBDNZ!D11</f>
        <v>0</v>
      </c>
      <c r="W77" s="588">
        <f>C47*W33/GBDNZ!D3</f>
        <v>0</v>
      </c>
      <c r="X77" s="589">
        <f>D47*X33/GBDNZ!D11</f>
        <v>0</v>
      </c>
      <c r="Y77" s="588">
        <f>C47*Y33/GBDNZ!D3</f>
        <v>0</v>
      </c>
      <c r="Z77" s="589">
        <f>D47*Z33/GBDNZ!D11</f>
        <v>0</v>
      </c>
      <c r="AA77" s="588">
        <f>C47*AA33/GBDNZ!D3</f>
        <v>0</v>
      </c>
      <c r="AB77" s="589">
        <f>D47*AB33/GBDNZ!D11</f>
        <v>0</v>
      </c>
      <c r="AC77" s="588">
        <f>C47*AC33/GBDNZ!D3</f>
        <v>0</v>
      </c>
      <c r="AD77" s="589">
        <f>D47*AD33/GBDNZ!D11</f>
        <v>0</v>
      </c>
      <c r="AE77" s="588">
        <f>C47*AE33/GBDNZ!D3</f>
        <v>0</v>
      </c>
      <c r="AF77" s="589">
        <f>D47*AF33/GBDNZ!D11</f>
        <v>0</v>
      </c>
      <c r="AG77" s="232"/>
    </row>
    <row r="78" spans="1:33" s="545" customFormat="1" ht="12.75" customHeight="1" x14ac:dyDescent="0.3">
      <c r="A78" s="983"/>
      <c r="B78" s="571" t="s">
        <v>3</v>
      </c>
      <c r="C78" s="573"/>
      <c r="D78" s="575"/>
      <c r="E78" s="582">
        <f>C48*E34/GBDNZ!D4</f>
        <v>0</v>
      </c>
      <c r="F78" s="585">
        <f>D48*F34/GBDNZ!D12</f>
        <v>0</v>
      </c>
      <c r="G78" s="581">
        <f>C48*G34/GBDNZ!D4</f>
        <v>0</v>
      </c>
      <c r="H78" s="581">
        <f>D48*H34/GBDNZ!D12</f>
        <v>0</v>
      </c>
      <c r="I78" s="582">
        <f>C48*I34/GBDNZ!D4</f>
        <v>0</v>
      </c>
      <c r="J78" s="585">
        <f>D48*J34/GBDNZ!D12</f>
        <v>0</v>
      </c>
      <c r="K78" s="582">
        <f>C48*K34/GBDNZ!D4</f>
        <v>0</v>
      </c>
      <c r="L78" s="585">
        <f>D48*L34/GBDNZ!D12</f>
        <v>0</v>
      </c>
      <c r="M78" s="582">
        <f>C48*M34/GBDNZ!D4</f>
        <v>0</v>
      </c>
      <c r="N78" s="585">
        <f>D48*N34/GBDNZ!D12</f>
        <v>0</v>
      </c>
      <c r="O78" s="582">
        <f>C48*O34/GBDNZ!D4</f>
        <v>0</v>
      </c>
      <c r="P78" s="585">
        <f>D48*P34/GBDNZ!D12</f>
        <v>0</v>
      </c>
      <c r="Q78" s="582">
        <f>C48*Q34/GBDNZ!D4</f>
        <v>0</v>
      </c>
      <c r="R78" s="585">
        <f>D48*R34/GBDNZ!D12</f>
        <v>0</v>
      </c>
      <c r="S78" s="582">
        <f>C48*S34/GBDNZ!D4</f>
        <v>0</v>
      </c>
      <c r="T78" s="585">
        <f>D48*T34/GBDNZ!D12</f>
        <v>0</v>
      </c>
      <c r="U78" s="582">
        <f>C48*U34/GBDNZ!D4</f>
        <v>0</v>
      </c>
      <c r="V78" s="585">
        <f>D48*V34/GBDNZ!D12</f>
        <v>0</v>
      </c>
      <c r="W78" s="582">
        <f>C48*W34/GBDNZ!D4</f>
        <v>0</v>
      </c>
      <c r="X78" s="585">
        <f>D48*X34/GBDNZ!D12</f>
        <v>0</v>
      </c>
      <c r="Y78" s="582">
        <f>C48*Y34/GBDNZ!D4</f>
        <v>0</v>
      </c>
      <c r="Z78" s="585">
        <f>D48*Z34/GBDNZ!D12</f>
        <v>0</v>
      </c>
      <c r="AA78" s="582">
        <f>C48*AA34/GBDNZ!D4</f>
        <v>0</v>
      </c>
      <c r="AB78" s="585">
        <f>D48*AB34/GBDNZ!D12</f>
        <v>0</v>
      </c>
      <c r="AC78" s="582">
        <f>C48*AC34/GBDNZ!D4</f>
        <v>0</v>
      </c>
      <c r="AD78" s="585">
        <f>D48*AD34/GBDNZ!D12</f>
        <v>0</v>
      </c>
      <c r="AE78" s="582">
        <f>C48*AE34/GBDNZ!D4</f>
        <v>0</v>
      </c>
      <c r="AF78" s="585">
        <f>D48*AF34/GBDNZ!D12</f>
        <v>0</v>
      </c>
    </row>
    <row r="79" spans="1:33" s="545" customFormat="1" ht="12.75" customHeight="1" x14ac:dyDescent="0.3">
      <c r="A79" s="983"/>
      <c r="B79" s="571" t="s">
        <v>4</v>
      </c>
      <c r="C79" s="573"/>
      <c r="D79" s="575"/>
      <c r="E79" s="582">
        <f>C49*E35/GBDNZ!D5</f>
        <v>0</v>
      </c>
      <c r="F79" s="585">
        <f>D49*F35/GBDNZ!D13</f>
        <v>5.6913847850504948E-2</v>
      </c>
      <c r="G79" s="581">
        <f>C49*G35/GBDNZ!D5</f>
        <v>5.1532585431802259E-2</v>
      </c>
      <c r="H79" s="581">
        <f>D49*H35/GBDNZ!D13</f>
        <v>3.1915045506904195E-2</v>
      </c>
      <c r="I79" s="582">
        <f>C49*I35/GBDNZ!D5</f>
        <v>0.2281297773113613</v>
      </c>
      <c r="J79" s="585">
        <f>D49*J35/GBDNZ!D13</f>
        <v>0.25348150613802845</v>
      </c>
      <c r="K79" s="582">
        <f>C49*K35/GBDNZ!D5</f>
        <v>0.34335971286317685</v>
      </c>
      <c r="L79" s="585">
        <f>D49*L35/GBDNZ!D13</f>
        <v>0.15691437240686357</v>
      </c>
      <c r="M79" s="582">
        <f>C49*M35/GBDNZ!D5</f>
        <v>0.93486465112171824</v>
      </c>
      <c r="N79" s="585">
        <f>D49*N35/GBDNZ!D13</f>
        <v>2.0479595777553214</v>
      </c>
      <c r="O79" s="582">
        <f>C49*O35/GBDNZ!D5</f>
        <v>0</v>
      </c>
      <c r="P79" s="585">
        <f>D49*P35/GBDNZ!D13</f>
        <v>0</v>
      </c>
      <c r="Q79" s="582">
        <f>C49*Q35/GBDNZ!D5</f>
        <v>0.60771918441123085</v>
      </c>
      <c r="R79" s="585">
        <f>D49*R35/GBDNZ!D13</f>
        <v>0.62913891236175745</v>
      </c>
      <c r="S79" s="582">
        <f>C49*S35/GBDNZ!D5</f>
        <v>8.0683055925080838E-3</v>
      </c>
      <c r="T79" s="585">
        <f>D49*T35/GBDNZ!D13</f>
        <v>7.7327741206509081E-3</v>
      </c>
      <c r="U79" s="582">
        <f>C49*U35/GBDNZ!D5</f>
        <v>0</v>
      </c>
      <c r="V79" s="585">
        <f>D49*V35/GBDNZ!D13</f>
        <v>0</v>
      </c>
      <c r="W79" s="582">
        <f>C49*W35/GBDNZ!D5</f>
        <v>0</v>
      </c>
      <c r="X79" s="585">
        <f>D49*X35/GBDNZ!D13</f>
        <v>0</v>
      </c>
      <c r="Y79" s="582">
        <f>C49*Y35/GBDNZ!D5</f>
        <v>0</v>
      </c>
      <c r="Z79" s="585">
        <f>D49*Z35/GBDNZ!D13</f>
        <v>0</v>
      </c>
      <c r="AA79" s="582">
        <f>C49*AA35/GBDNZ!D5</f>
        <v>0</v>
      </c>
      <c r="AB79" s="585">
        <f>D49*AB35/GBDNZ!D13</f>
        <v>0</v>
      </c>
      <c r="AC79" s="582">
        <f>C49*AC35/GBDNZ!D5</f>
        <v>2.1736742167317979</v>
      </c>
      <c r="AD79" s="585">
        <f>D49*AD35/GBDNZ!D13</f>
        <v>3.1840560361400314</v>
      </c>
      <c r="AE79" s="582">
        <f>C49*AE35/GBDNZ!D5</f>
        <v>6.7133673950004598</v>
      </c>
      <c r="AF79" s="585">
        <f>D49*AF35/GBDNZ!D13</f>
        <v>3.7475437017439157</v>
      </c>
    </row>
    <row r="80" spans="1:33" s="545" customFormat="1" ht="12.75" customHeight="1" x14ac:dyDescent="0.3">
      <c r="A80" s="983"/>
      <c r="B80" s="571" t="s">
        <v>5</v>
      </c>
      <c r="C80" s="573"/>
      <c r="D80" s="575"/>
      <c r="E80" s="582">
        <f>C50*E36/GBDNZ!D6</f>
        <v>0</v>
      </c>
      <c r="F80" s="585">
        <f>D50*F36/GBDNZ!D14</f>
        <v>0.74688095895873186</v>
      </c>
      <c r="G80" s="581">
        <f>C50*G36/GBDNZ!D6</f>
        <v>0.11918078614369478</v>
      </c>
      <c r="H80" s="581">
        <f>D50*H36/GBDNZ!D14</f>
        <v>0.19482432782359868</v>
      </c>
      <c r="I80" s="582">
        <f>C50*I36/GBDNZ!D6</f>
        <v>0.32295083151749959</v>
      </c>
      <c r="J80" s="585">
        <f>D50*J36/GBDNZ!D14</f>
        <v>15.273844836938864</v>
      </c>
      <c r="K80" s="582">
        <f>C50*K36/GBDNZ!D6</f>
        <v>1.4887509042825178</v>
      </c>
      <c r="L80" s="585">
        <f>D50*L36/GBDNZ!D14</f>
        <v>13.892062685904829</v>
      </c>
      <c r="M80" s="582">
        <f>C50*M36/GBDNZ!D6</f>
        <v>0.83955138281185682</v>
      </c>
      <c r="N80" s="585">
        <f>D50*N36/GBDNZ!D14</f>
        <v>2.9615849799390874</v>
      </c>
      <c r="O80" s="582">
        <f>C50*O36/GBDNZ!D6</f>
        <v>5.5290191515360509E-4</v>
      </c>
      <c r="P80" s="585">
        <f>D50*P36/GBDNZ!D14</f>
        <v>1.4299580286209126E-3</v>
      </c>
      <c r="Q80" s="582">
        <f>C50*Q36/GBDNZ!D6</f>
        <v>0.66077808108756664</v>
      </c>
      <c r="R80" s="585">
        <f>D50*R36/GBDNZ!D14</f>
        <v>23.506346292878433</v>
      </c>
      <c r="S80" s="582">
        <f>C50*S36/GBDNZ!D6</f>
        <v>3.0046333816008901E-2</v>
      </c>
      <c r="T80" s="585">
        <f>D50*T36/GBDNZ!D14</f>
        <v>0.81201227096914541</v>
      </c>
      <c r="U80" s="582">
        <f>C50*U36/GBDNZ!D6</f>
        <v>0</v>
      </c>
      <c r="V80" s="585">
        <f>D50*V36/GBDNZ!D14</f>
        <v>0</v>
      </c>
      <c r="W80" s="582">
        <f>C50*W36/GBDNZ!D6</f>
        <v>0</v>
      </c>
      <c r="X80" s="585">
        <f>D50*X36/GBDNZ!D14</f>
        <v>0</v>
      </c>
      <c r="Y80" s="582">
        <f>C50*Y36/GBDNZ!D6</f>
        <v>0</v>
      </c>
      <c r="Z80" s="585">
        <f>D50*Z36/GBDNZ!D14</f>
        <v>0</v>
      </c>
      <c r="AA80" s="582">
        <f>C50*AA36/GBDNZ!D6</f>
        <v>0</v>
      </c>
      <c r="AB80" s="585">
        <f>D50*AB36/GBDNZ!D14</f>
        <v>0</v>
      </c>
      <c r="AC80" s="582">
        <f>C50*AC36/GBDNZ!D6</f>
        <v>3.4618112215742975</v>
      </c>
      <c r="AD80" s="585">
        <f>D50*AD36/GBDNZ!D14</f>
        <v>57.388986311441307</v>
      </c>
      <c r="AE80" s="582">
        <f>C50*AE36/GBDNZ!D6</f>
        <v>2.7551696757817941</v>
      </c>
      <c r="AF80" s="585">
        <f>D50*AF36/GBDNZ!D14</f>
        <v>3.8627691892775107</v>
      </c>
    </row>
    <row r="81" spans="1:36" s="545" customFormat="1" ht="12.75" customHeight="1" x14ac:dyDescent="0.3">
      <c r="A81" s="983"/>
      <c r="B81" s="571" t="s">
        <v>6</v>
      </c>
      <c r="C81" s="573"/>
      <c r="D81" s="575"/>
      <c r="E81" s="582">
        <f>C51*E37/GBDNZ!D7</f>
        <v>0</v>
      </c>
      <c r="F81" s="585">
        <f>D51*F37/GBDNZ!D15</f>
        <v>2.3876961218188208</v>
      </c>
      <c r="G81" s="581">
        <f>C51*G37/GBDNZ!D7</f>
        <v>0.30482483024437601</v>
      </c>
      <c r="H81" s="581">
        <f>D51*H37/GBDNZ!D15</f>
        <v>0.92285804507579705</v>
      </c>
      <c r="I81" s="582">
        <f>C51*I37/GBDNZ!D7</f>
        <v>0.62616170041376229</v>
      </c>
      <c r="J81" s="585">
        <f>D51*J37/GBDNZ!D15</f>
        <v>3.2277649973435221</v>
      </c>
      <c r="K81" s="582">
        <f>C51*K37/GBDNZ!D7</f>
        <v>3.8200197335414567</v>
      </c>
      <c r="L81" s="585">
        <f>D51*L37/GBDNZ!D15</f>
        <v>5.1154256963992868</v>
      </c>
      <c r="M81" s="582">
        <f>C51*M37/GBDNZ!D7</f>
        <v>0.39752314389796917</v>
      </c>
      <c r="N81" s="585">
        <f>D51*N37/GBDNZ!D15</f>
        <v>3.3741603829868461</v>
      </c>
      <c r="O81" s="582">
        <f>C51*O37/GBDNZ!D7</f>
        <v>3.2397869156734829E-2</v>
      </c>
      <c r="P81" s="585">
        <f>D51*P37/GBDNZ!D15</f>
        <v>0.22458120067165191</v>
      </c>
      <c r="Q81" s="582">
        <f>C51*Q37/GBDNZ!D7</f>
        <v>1.2873671950547703</v>
      </c>
      <c r="R81" s="585">
        <f>D51*R37/GBDNZ!D15</f>
        <v>4.9052745230236843</v>
      </c>
      <c r="S81" s="582">
        <f>C51*S37/GBDNZ!D7</f>
        <v>7.6585341828256714E-2</v>
      </c>
      <c r="T81" s="585">
        <f>D51*T37/GBDNZ!D15</f>
        <v>0.25148677731423097</v>
      </c>
      <c r="U81" s="582">
        <f>C51*U37/GBDNZ!D7</f>
        <v>0</v>
      </c>
      <c r="V81" s="585">
        <f>D51*V37/GBDNZ!D15</f>
        <v>0</v>
      </c>
      <c r="W81" s="582">
        <f>C51*W37/GBDNZ!D7</f>
        <v>0</v>
      </c>
      <c r="X81" s="585">
        <f>D51*X37/GBDNZ!D15</f>
        <v>0</v>
      </c>
      <c r="Y81" s="582">
        <f>C51*Y37/GBDNZ!D7</f>
        <v>0</v>
      </c>
      <c r="Z81" s="585">
        <f>D51*Z37/GBDNZ!D15</f>
        <v>0</v>
      </c>
      <c r="AA81" s="582">
        <f>C51*AA37/GBDNZ!D7</f>
        <v>0</v>
      </c>
      <c r="AB81" s="585">
        <f>D51*AB37/GBDNZ!D15</f>
        <v>0</v>
      </c>
      <c r="AC81" s="582">
        <f>C51*AC37/GBDNZ!D7</f>
        <v>6.5448798141373263</v>
      </c>
      <c r="AD81" s="585">
        <f>D51*AD37/GBDNZ!D15</f>
        <v>20.409247744633838</v>
      </c>
      <c r="AE81" s="582">
        <f>C51*AE37/GBDNZ!D7</f>
        <v>2.7615965151029465</v>
      </c>
      <c r="AF81" s="585">
        <f>D51*AF37/GBDNZ!D15</f>
        <v>11.151228754372131</v>
      </c>
    </row>
    <row r="82" spans="1:36" s="545" customFormat="1" ht="12.75" customHeight="1" x14ac:dyDescent="0.3">
      <c r="A82" s="983"/>
      <c r="B82" s="571" t="s">
        <v>7</v>
      </c>
      <c r="C82" s="573"/>
      <c r="D82" s="575"/>
      <c r="E82" s="582">
        <f>C52*E38/GBDNZ!D8</f>
        <v>0</v>
      </c>
      <c r="F82" s="585">
        <f>D52*F38/GBDNZ!D16</f>
        <v>3.3719401418808905</v>
      </c>
      <c r="G82" s="581">
        <f>C52*G38/GBDNZ!D8</f>
        <v>3.6230914779540591</v>
      </c>
      <c r="H82" s="581">
        <f>D52*H38/GBDNZ!D16</f>
        <v>2.8033944779082889</v>
      </c>
      <c r="I82" s="582">
        <f>C52*I38/GBDNZ!D8</f>
        <v>6.8430394810585202</v>
      </c>
      <c r="J82" s="585">
        <f>D52*J38/GBDNZ!D16</f>
        <v>5.6252259987042654</v>
      </c>
      <c r="K82" s="582">
        <f>C52*K38/GBDNZ!D8</f>
        <v>32.61107067131654</v>
      </c>
      <c r="L82" s="585">
        <f>D52*L38/GBDNZ!D16</f>
        <v>12.402069834025021</v>
      </c>
      <c r="M82" s="582">
        <f>C52*M38/GBDNZ!D8</f>
        <v>1.5083238598303295</v>
      </c>
      <c r="N82" s="585">
        <f>D52*N38/GBDNZ!D16</f>
        <v>3.8058847844581902</v>
      </c>
      <c r="O82" s="582">
        <f>C52*O38/GBDNZ!D8</f>
        <v>1.363869729127491</v>
      </c>
      <c r="P82" s="585">
        <f>D52*P38/GBDNZ!D16</f>
        <v>2.4616339290607394</v>
      </c>
      <c r="Q82" s="582">
        <f>C52*Q38/GBDNZ!D8</f>
        <v>8.9864022522340026</v>
      </c>
      <c r="R82" s="585">
        <f>D52*R38/GBDNZ!D16</f>
        <v>6.7749655495222605</v>
      </c>
      <c r="S82" s="582">
        <f>C52*S38/GBDNZ!D8</f>
        <v>0.60285234112492381</v>
      </c>
      <c r="T82" s="585">
        <f>D52*T38/GBDNZ!D16</f>
        <v>0.55067580049466935</v>
      </c>
      <c r="U82" s="582">
        <f>C52*U38/GBDNZ!D8</f>
        <v>0</v>
      </c>
      <c r="V82" s="585">
        <f>D52*V38/GBDNZ!D16</f>
        <v>0</v>
      </c>
      <c r="W82" s="582">
        <f>C52*W38/GBDNZ!D8</f>
        <v>0</v>
      </c>
      <c r="X82" s="585">
        <f>D52*X38/GBDNZ!D16</f>
        <v>0</v>
      </c>
      <c r="Y82" s="582">
        <f>C52*Y38/GBDNZ!D8</f>
        <v>0</v>
      </c>
      <c r="Z82" s="585">
        <f>D52*Z38/GBDNZ!D16</f>
        <v>0</v>
      </c>
      <c r="AA82" s="582">
        <f>C52*AA38/GBDNZ!D8</f>
        <v>0</v>
      </c>
      <c r="AB82" s="585">
        <f>D52*AB38/GBDNZ!D16</f>
        <v>0</v>
      </c>
      <c r="AC82" s="582">
        <f>C52*AC38/GBDNZ!D8</f>
        <v>55.538649812645872</v>
      </c>
      <c r="AD82" s="585">
        <f>D52*AD38/GBDNZ!D16</f>
        <v>37.795790516054325</v>
      </c>
      <c r="AE82" s="582">
        <f>C52*AE38/GBDNZ!D8</f>
        <v>26.418923911180979</v>
      </c>
      <c r="AF82" s="585">
        <f>D52*AF38/GBDNZ!D16</f>
        <v>36.415709677805104</v>
      </c>
    </row>
    <row r="83" spans="1:36" s="545" customFormat="1" ht="12.75" customHeight="1" x14ac:dyDescent="0.3">
      <c r="A83" s="983"/>
      <c r="B83" s="571" t="s">
        <v>8</v>
      </c>
      <c r="C83" s="573"/>
      <c r="D83" s="575"/>
      <c r="E83" s="582">
        <f>C53*E39/GBDNZ!D9</f>
        <v>0</v>
      </c>
      <c r="F83" s="585">
        <f>D53*F39/GBDNZ!D17</f>
        <v>3.5582104506086978</v>
      </c>
      <c r="G83" s="581">
        <f>C53*G39/GBDNZ!D9</f>
        <v>9.6097924227838813</v>
      </c>
      <c r="H83" s="581">
        <f>D53*H39/GBDNZ!D17</f>
        <v>4.8774239629661063</v>
      </c>
      <c r="I83" s="582">
        <f>C53*I39/GBDNZ!D9</f>
        <v>15.957241185178136</v>
      </c>
      <c r="J83" s="585">
        <f>D53*J39/GBDNZ!D17</f>
        <v>7.4190922921442821</v>
      </c>
      <c r="K83" s="582">
        <f>C53*K39/GBDNZ!D9</f>
        <v>51.30281028354171</v>
      </c>
      <c r="L83" s="585">
        <f>D53*L39/GBDNZ!D17</f>
        <v>14.19413278701561</v>
      </c>
      <c r="M83" s="582">
        <f>C53*M39/GBDNZ!D9</f>
        <v>2.4333895288353964</v>
      </c>
      <c r="N83" s="585">
        <f>D53*N39/GBDNZ!D17</f>
        <v>4.2162206725281441</v>
      </c>
      <c r="O83" s="582">
        <f>C53*O39/GBDNZ!D9</f>
        <v>11.64359886375818</v>
      </c>
      <c r="P83" s="585">
        <f>D53*P39/GBDNZ!D17</f>
        <v>14.398931231239262</v>
      </c>
      <c r="Q83" s="582">
        <f>C53*Q39/GBDNZ!D9</f>
        <v>11.184341630372689</v>
      </c>
      <c r="R83" s="585">
        <f>D53*R39/GBDNZ!D17</f>
        <v>4.6982851761204749</v>
      </c>
      <c r="S83" s="582">
        <f>C53*S39/GBDNZ!D9</f>
        <v>1.2393881990244955</v>
      </c>
      <c r="T83" s="585">
        <f>D53*T39/GBDNZ!D17</f>
        <v>0.5877497502892024</v>
      </c>
      <c r="U83" s="582">
        <f>C53*U39/GBDNZ!D9</f>
        <v>0</v>
      </c>
      <c r="V83" s="585">
        <f>D53*V39/GBDNZ!D17</f>
        <v>0</v>
      </c>
      <c r="W83" s="582">
        <f>C53*W39/GBDNZ!D9</f>
        <v>0</v>
      </c>
      <c r="X83" s="585">
        <f>D53*X39/GBDNZ!D17</f>
        <v>0</v>
      </c>
      <c r="Y83" s="582">
        <f>C53*Y39/GBDNZ!D9</f>
        <v>0</v>
      </c>
      <c r="Z83" s="585">
        <f>D53*Z39/GBDNZ!D17</f>
        <v>0</v>
      </c>
      <c r="AA83" s="582">
        <f>C53*AA39/GBDNZ!D9</f>
        <v>0</v>
      </c>
      <c r="AB83" s="585">
        <f>D53*AB39/GBDNZ!D17</f>
        <v>0</v>
      </c>
      <c r="AC83" s="582">
        <f>C53*AC39/GBDNZ!D9</f>
        <v>103.37056211349449</v>
      </c>
      <c r="AD83" s="585">
        <f>D53*AD39/GBDNZ!D17</f>
        <v>53.950046322911774</v>
      </c>
      <c r="AE83" s="582">
        <f>C53*AE39/GBDNZ!D9</f>
        <v>114.0573904598338</v>
      </c>
      <c r="AF83" s="585">
        <f>D53*AF39/GBDNZ!D17</f>
        <v>95.464204036538035</v>
      </c>
    </row>
    <row r="84" spans="1:36" s="545" customFormat="1" ht="12.75" customHeight="1" x14ac:dyDescent="0.3">
      <c r="A84" s="983"/>
      <c r="B84" s="34" t="s">
        <v>9</v>
      </c>
      <c r="C84" s="574"/>
      <c r="D84" s="575"/>
      <c r="E84" s="584">
        <f>C54*E40/GBDNZ!D10</f>
        <v>0</v>
      </c>
      <c r="F84" s="586">
        <f>D54*F40/GBDNZ!D18</f>
        <v>1.4763554935630965</v>
      </c>
      <c r="G84" s="584">
        <f>C54*G40/GBDNZ!D10</f>
        <v>6.3145671790343059</v>
      </c>
      <c r="H84" s="583">
        <f>D54*H40/GBDNZ!D18</f>
        <v>2.5680267873270521</v>
      </c>
      <c r="I84" s="584">
        <f>C54*I40/GBDNZ!D10</f>
        <v>14.585018117247797</v>
      </c>
      <c r="J84" s="586">
        <f>D54*J40/GBDNZ!D18</f>
        <v>17.744462226575617</v>
      </c>
      <c r="K84" s="584">
        <f>C54*K40/GBDNZ!D10</f>
        <v>37.656548627378548</v>
      </c>
      <c r="L84" s="586">
        <f>D54*L40/GBDNZ!D18</f>
        <v>29.253246339473886</v>
      </c>
      <c r="M84" s="584">
        <f>C54*M40/GBDNZ!D10</f>
        <v>1.6238148203933571</v>
      </c>
      <c r="N84" s="586">
        <f>D54*N40/GBDNZ!D18</f>
        <v>1.9259996216430477</v>
      </c>
      <c r="O84" s="584">
        <f>C54*O40/GBDNZ!D10</f>
        <v>43.380678889271117</v>
      </c>
      <c r="P84" s="586">
        <f>D54*P40/GBDNZ!D18</f>
        <v>38.480369949905409</v>
      </c>
      <c r="Q84" s="584">
        <f>C54*Q40/GBDNZ!D10</f>
        <v>5.8984110728286083</v>
      </c>
      <c r="R84" s="586">
        <f>D54*R40/GBDNZ!D18</f>
        <v>4.7312384530838072</v>
      </c>
      <c r="S84" s="584">
        <f>C54*S40/GBDNZ!D10</f>
        <v>1.4336358002581002</v>
      </c>
      <c r="T84" s="586">
        <f>D54*T40/GBDNZ!D18</f>
        <v>2.2822420459873798</v>
      </c>
      <c r="U84" s="584">
        <f>C54*U40/GBDNZ!D10</f>
        <v>0</v>
      </c>
      <c r="V84" s="586">
        <f>D54*V40/GBDNZ!D18</f>
        <v>0</v>
      </c>
      <c r="W84" s="584">
        <f>C54*W40/GBDNZ!D10</f>
        <v>0</v>
      </c>
      <c r="X84" s="586">
        <f>D54*X40/GBDNZ!D18</f>
        <v>0</v>
      </c>
      <c r="Y84" s="584">
        <f>C54*Y40/GBDNZ!D10</f>
        <v>0</v>
      </c>
      <c r="Z84" s="586">
        <f>D54*Z40/GBDNZ!D18</f>
        <v>0</v>
      </c>
      <c r="AA84" s="584">
        <f>C54*AA40/GBDNZ!D10</f>
        <v>0</v>
      </c>
      <c r="AB84" s="586">
        <f>D54*AB40/GBDNZ!D18</f>
        <v>0</v>
      </c>
      <c r="AC84" s="584">
        <f>C54*AC40/GBDNZ!D10</f>
        <v>110.89267450641184</v>
      </c>
      <c r="AD84" s="586">
        <f>D54*AD40/GBDNZ!D18</f>
        <v>98.461940917559303</v>
      </c>
      <c r="AE84" s="584">
        <f>C54*AE40/GBDNZ!D10</f>
        <v>164.10807945170487</v>
      </c>
      <c r="AF84" s="586">
        <f>D54*AF40/GBDNZ!D18</f>
        <v>99.355227039628701</v>
      </c>
    </row>
    <row r="85" spans="1:36" s="545" customFormat="1" ht="12.75" customHeight="1" x14ac:dyDescent="0.3">
      <c r="A85" s="983"/>
      <c r="B85" s="955" t="s">
        <v>72</v>
      </c>
      <c r="C85" s="956"/>
      <c r="D85" s="957"/>
      <c r="E85" s="223">
        <f t="shared" ref="E85:AF85" si="49">SUM(E77:E84)</f>
        <v>0</v>
      </c>
      <c r="F85" s="223">
        <f t="shared" si="49"/>
        <v>11.597997014680741</v>
      </c>
      <c r="G85" s="223">
        <f t="shared" si="49"/>
        <v>20.022989281592118</v>
      </c>
      <c r="H85" s="223">
        <f t="shared" si="49"/>
        <v>11.398442646607748</v>
      </c>
      <c r="I85" s="223">
        <f t="shared" si="49"/>
        <v>38.562541092727081</v>
      </c>
      <c r="J85" s="223">
        <f t="shared" si="49"/>
        <v>49.543871857844579</v>
      </c>
      <c r="K85" s="223">
        <f t="shared" si="49"/>
        <v>127.22255993292396</v>
      </c>
      <c r="L85" s="223">
        <f t="shared" si="49"/>
        <v>75.013851715225499</v>
      </c>
      <c r="M85" s="223">
        <f t="shared" si="49"/>
        <v>7.7374673868906276</v>
      </c>
      <c r="N85" s="223">
        <f t="shared" si="49"/>
        <v>18.331810019310637</v>
      </c>
      <c r="O85" s="223">
        <f t="shared" si="49"/>
        <v>56.421098253228678</v>
      </c>
      <c r="P85" s="223">
        <f t="shared" si="49"/>
        <v>55.566946268905681</v>
      </c>
      <c r="Q85" s="223">
        <f t="shared" si="49"/>
        <v>28.625019415988866</v>
      </c>
      <c r="R85" s="223">
        <f t="shared" si="49"/>
        <v>45.245248906990412</v>
      </c>
      <c r="S85" s="223">
        <f t="shared" si="49"/>
        <v>3.3905763216442932</v>
      </c>
      <c r="T85" s="223">
        <f t="shared" si="49"/>
        <v>4.4918994191752786</v>
      </c>
      <c r="U85" s="223">
        <f t="shared" si="49"/>
        <v>0</v>
      </c>
      <c r="V85" s="223">
        <f t="shared" si="49"/>
        <v>0</v>
      </c>
      <c r="W85" s="223">
        <f t="shared" si="49"/>
        <v>0</v>
      </c>
      <c r="X85" s="223">
        <f t="shared" si="49"/>
        <v>0</v>
      </c>
      <c r="Y85" s="223">
        <f t="shared" si="49"/>
        <v>0</v>
      </c>
      <c r="Z85" s="223">
        <f t="shared" si="49"/>
        <v>0</v>
      </c>
      <c r="AA85" s="223">
        <f t="shared" si="49"/>
        <v>0</v>
      </c>
      <c r="AB85" s="223">
        <f t="shared" si="49"/>
        <v>0</v>
      </c>
      <c r="AC85" s="223">
        <f t="shared" si="49"/>
        <v>281.98225168499562</v>
      </c>
      <c r="AD85" s="223">
        <f t="shared" si="49"/>
        <v>271.19006784874057</v>
      </c>
      <c r="AE85" s="223">
        <f t="shared" si="49"/>
        <v>316.81452740860482</v>
      </c>
      <c r="AF85" s="223">
        <f t="shared" si="49"/>
        <v>249.9966823993654</v>
      </c>
      <c r="AG85" s="232">
        <f>AD85+AC85</f>
        <v>553.17231953373619</v>
      </c>
      <c r="AI85" s="567">
        <f>AG85-(AA85+AB85)-(U85+V85)</f>
        <v>553.17231953373619</v>
      </c>
      <c r="AJ85" s="567">
        <f>AE85+AF85</f>
        <v>566.81120980797027</v>
      </c>
    </row>
    <row r="86" spans="1:36" s="545" customFormat="1" ht="15" thickBot="1" x14ac:dyDescent="0.4">
      <c r="A86" s="990"/>
      <c r="B86" s="958"/>
      <c r="C86" s="959"/>
      <c r="D86" s="960"/>
      <c r="E86" s="974">
        <f t="shared" ref="E86:AE86" si="50">E42</f>
        <v>4.0561953764448706E-4</v>
      </c>
      <c r="F86" s="962"/>
      <c r="G86" s="961">
        <f t="shared" si="50"/>
        <v>5.7694006914455463E-4</v>
      </c>
      <c r="H86" s="962"/>
      <c r="I86" s="961">
        <f t="shared" si="50"/>
        <v>1.4401069464816641E-3</v>
      </c>
      <c r="J86" s="962"/>
      <c r="K86" s="961">
        <f t="shared" si="50"/>
        <v>1.2102967020485079E-3</v>
      </c>
      <c r="L86" s="962"/>
      <c r="M86" s="961">
        <f t="shared" si="50"/>
        <v>4.2350777396155429E-4</v>
      </c>
      <c r="N86" s="962"/>
      <c r="O86" s="961">
        <f t="shared" si="50"/>
        <v>1.1528625824952924E-3</v>
      </c>
      <c r="P86" s="962"/>
      <c r="Q86" s="961">
        <f t="shared" si="50"/>
        <v>1.659019639262147E-3</v>
      </c>
      <c r="R86" s="962"/>
      <c r="S86" s="961">
        <f t="shared" si="50"/>
        <v>1.2074952404504513E-3</v>
      </c>
      <c r="T86" s="962"/>
      <c r="U86" s="961">
        <f t="shared" si="50"/>
        <v>0</v>
      </c>
      <c r="V86" s="962"/>
      <c r="W86" s="961">
        <f t="shared" si="50"/>
        <v>0</v>
      </c>
      <c r="X86" s="962"/>
      <c r="Y86" s="961">
        <f t="shared" si="50"/>
        <v>0</v>
      </c>
      <c r="Z86" s="962"/>
      <c r="AA86" s="961">
        <f t="shared" si="50"/>
        <v>0</v>
      </c>
      <c r="AB86" s="962"/>
      <c r="AC86" s="963">
        <f t="shared" si="50"/>
        <v>2.6171327663615724E-4</v>
      </c>
      <c r="AD86" s="964"/>
      <c r="AE86" s="963">
        <f t="shared" si="50"/>
        <v>2.2736725603032562E-4</v>
      </c>
      <c r="AF86" s="964"/>
      <c r="AG86" s="641">
        <f>AG42</f>
        <v>0</v>
      </c>
    </row>
    <row r="87" spans="1:36" s="545" customFormat="1" x14ac:dyDescent="0.25">
      <c r="E87" s="263"/>
      <c r="F87" s="232"/>
      <c r="G87" s="232"/>
      <c r="H87" s="232"/>
      <c r="I87" s="232"/>
      <c r="J87" s="232"/>
      <c r="K87" s="232"/>
      <c r="L87" s="232"/>
      <c r="M87" s="232"/>
      <c r="N87" s="232"/>
      <c r="O87" s="232"/>
      <c r="P87" s="232"/>
      <c r="Q87" s="232"/>
      <c r="R87" s="232"/>
      <c r="U87" s="232"/>
      <c r="W87" s="232"/>
      <c r="Y87" s="232"/>
    </row>
    <row r="88" spans="1:36" s="552" customFormat="1" ht="13" x14ac:dyDescent="0.3">
      <c r="E88" s="566"/>
      <c r="F88" s="567"/>
      <c r="G88" s="567"/>
      <c r="H88" s="567"/>
      <c r="I88" s="567"/>
      <c r="J88" s="567"/>
      <c r="K88" s="567"/>
      <c r="L88" s="567"/>
      <c r="M88" s="567"/>
      <c r="N88" s="567"/>
      <c r="Q88" s="567"/>
      <c r="AB88" s="323" t="s">
        <v>426</v>
      </c>
    </row>
    <row r="89" spans="1:36" ht="15.5" x14ac:dyDescent="0.35">
      <c r="A89" s="263"/>
      <c r="D89" s="521"/>
      <c r="F89" s="521" t="str">
        <f>CONCATENATE("Change in Disease and Injury Burden, Scenario = ",'user page'!Y1)</f>
        <v>Change in Disease and Injury Burden, Scenario = 1</v>
      </c>
      <c r="L89" s="521" t="str">
        <f>CONCATENATE("Source of Benefit = ",'user page'!R41)</f>
        <v>Source of Benefit = 2</v>
      </c>
      <c r="M89" s="537"/>
      <c r="O89" s="522" t="s">
        <v>330</v>
      </c>
      <c r="P89" s="266"/>
      <c r="AB89" s="607"/>
      <c r="AC89" s="304" t="s">
        <v>427</v>
      </c>
      <c r="AD89" s="545"/>
      <c r="AE89" s="545"/>
      <c r="AF89" s="545"/>
      <c r="AG89" s="545"/>
      <c r="AH89" s="545"/>
      <c r="AI89" s="545"/>
      <c r="AJ89" s="545"/>
    </row>
    <row r="90" spans="1:36" ht="15.5" x14ac:dyDescent="0.35">
      <c r="D90" s="997" t="s">
        <v>283</v>
      </c>
      <c r="E90" s="490"/>
      <c r="F90" s="613" t="s">
        <v>316</v>
      </c>
      <c r="G90" s="613"/>
      <c r="H90" s="613"/>
      <c r="I90" s="613"/>
      <c r="J90" s="991" t="s">
        <v>78</v>
      </c>
      <c r="K90" s="991"/>
      <c r="L90" s="992" t="s">
        <v>271</v>
      </c>
      <c r="M90" s="991"/>
      <c r="O90" s="993" t="s">
        <v>326</v>
      </c>
      <c r="P90" s="993"/>
      <c r="Q90" s="991" t="s">
        <v>78</v>
      </c>
      <c r="R90" s="991"/>
      <c r="S90" s="992" t="s">
        <v>271</v>
      </c>
      <c r="T90" s="991"/>
      <c r="AB90" s="304" t="s">
        <v>428</v>
      </c>
      <c r="AC90" s="545"/>
      <c r="AD90" s="545" t="s">
        <v>429</v>
      </c>
      <c r="AE90" s="545" t="s">
        <v>430</v>
      </c>
      <c r="AF90" s="545" t="s">
        <v>431</v>
      </c>
      <c r="AG90" s="545" t="s">
        <v>28</v>
      </c>
      <c r="AH90" s="545"/>
      <c r="AI90" s="545"/>
      <c r="AJ90" s="545"/>
    </row>
    <row r="91" spans="1:36" ht="15.5" x14ac:dyDescent="0.35">
      <c r="C91" s="521"/>
      <c r="D91" s="998"/>
      <c r="E91" s="522"/>
      <c r="F91" s="614"/>
      <c r="G91" s="614"/>
      <c r="H91" s="614"/>
      <c r="I91" s="614"/>
      <c r="J91" s="527" t="s">
        <v>323</v>
      </c>
      <c r="K91" s="527" t="s">
        <v>324</v>
      </c>
      <c r="L91" s="528" t="s">
        <v>323</v>
      </c>
      <c r="M91" s="527" t="s">
        <v>324</v>
      </c>
      <c r="N91" s="521"/>
      <c r="O91" s="994"/>
      <c r="P91" s="994"/>
      <c r="Q91" s="527" t="s">
        <v>323</v>
      </c>
      <c r="R91" s="527" t="s">
        <v>324</v>
      </c>
      <c r="S91" s="528" t="s">
        <v>323</v>
      </c>
      <c r="T91" s="527" t="s">
        <v>324</v>
      </c>
      <c r="AB91" s="304" t="s">
        <v>432</v>
      </c>
      <c r="AC91" s="545"/>
      <c r="AD91" s="545">
        <v>12.42</v>
      </c>
      <c r="AE91" s="545">
        <v>595.91999999999996</v>
      </c>
      <c r="AF91" s="545">
        <v>275.63</v>
      </c>
      <c r="AG91" s="545">
        <v>871.55</v>
      </c>
      <c r="AH91" s="545"/>
      <c r="AI91" s="545"/>
      <c r="AJ91" s="545"/>
    </row>
    <row r="92" spans="1:36" ht="15.75" customHeight="1" x14ac:dyDescent="0.35">
      <c r="C92" s="521"/>
      <c r="D92" s="524" t="s">
        <v>342</v>
      </c>
      <c r="E92" s="523"/>
      <c r="F92" s="524" t="s">
        <v>317</v>
      </c>
      <c r="G92" s="524"/>
      <c r="H92" s="521"/>
      <c r="I92" s="521"/>
      <c r="J92" s="559">
        <f>IF('user page'!R41=1, SUM(K11:L11,I11:J11,S11:T11)/(GBDNZ!E70+GBDNZ!E87+GBDNZ!E53),)</f>
        <v>0</v>
      </c>
      <c r="K92" s="529">
        <f>IF('user page'!R41=1,SUM(K55:L55,I55:J55,S55:T55),)</f>
        <v>0</v>
      </c>
      <c r="L92" s="561">
        <f>IF('user page'!R41=1,SUM(K41:L41,I41:J41,S41:T41)/(GBDNZ!H70+GBDNZ!H87+GBDNZ!H53),)</f>
        <v>0</v>
      </c>
      <c r="M92" s="530">
        <f>IF('user page'!R41=1,SUM(K85:L85,I85:J85,S85:T85),)</f>
        <v>0</v>
      </c>
      <c r="N92" s="521"/>
      <c r="O92" s="539" t="s">
        <v>325</v>
      </c>
      <c r="P92" s="318"/>
      <c r="Q92" s="559"/>
      <c r="R92" s="529"/>
      <c r="S92" s="562"/>
      <c r="T92" s="530"/>
      <c r="AB92" s="304" t="s">
        <v>433</v>
      </c>
      <c r="AC92" s="545"/>
      <c r="AD92" s="545">
        <v>316.37</v>
      </c>
      <c r="AE92" s="545">
        <v>14808.88</v>
      </c>
      <c r="AF92" s="545">
        <v>2562.0300000000002</v>
      </c>
      <c r="AG92" s="394">
        <v>17370.919999999998</v>
      </c>
      <c r="AH92" s="545"/>
      <c r="AI92" s="545"/>
      <c r="AJ92" s="545"/>
    </row>
    <row r="93" spans="1:36" s="322" customFormat="1" ht="15.75" customHeight="1" x14ac:dyDescent="0.35">
      <c r="A93" s="545"/>
      <c r="B93" s="545"/>
      <c r="C93" s="521"/>
      <c r="D93" s="524" t="s">
        <v>341</v>
      </c>
      <c r="E93" s="523"/>
      <c r="F93" s="524" t="s">
        <v>317</v>
      </c>
      <c r="G93" s="524"/>
      <c r="H93" s="521"/>
      <c r="I93" s="521"/>
      <c r="J93" s="559">
        <f>IF('user page'!R41=2, SUM(K11:L11,I11:J11,S11:T11)/(GBDNZ!E70+GBDNZ!E87+GBDNZ!E53),)</f>
        <v>1.0218008105365053E-3</v>
      </c>
      <c r="K93" s="529">
        <f>IF('user page'!R41=2,SUM(K55:L55,I55:J55,S55:T55),)</f>
        <v>25.118912627159261</v>
      </c>
      <c r="L93" s="562">
        <f>IF('user page'!R41=2,SUM(K41:L41,I41:J41,S41:T41)/(GBDNZ!H70+GBDNZ!H87+GBDNZ!H53),)</f>
        <v>1.2711971729466695E-3</v>
      </c>
      <c r="M93" s="530">
        <f>IF('user page'!R41=2,SUM(K85:L85,I85:J85,S85:T85),)</f>
        <v>298.22530033954069</v>
      </c>
      <c r="N93" s="521"/>
      <c r="O93" s="523" t="s">
        <v>331</v>
      </c>
      <c r="P93" s="523"/>
      <c r="Q93" s="523"/>
      <c r="R93" s="521"/>
      <c r="S93" s="521"/>
      <c r="T93" s="521"/>
      <c r="AB93" s="304" t="s">
        <v>434</v>
      </c>
      <c r="AC93" s="545"/>
      <c r="AD93" s="545">
        <v>39.06</v>
      </c>
      <c r="AE93" s="545">
        <v>2179.62</v>
      </c>
      <c r="AF93" s="545">
        <v>635.04</v>
      </c>
      <c r="AG93" s="545">
        <v>2814.66</v>
      </c>
      <c r="AH93" s="545"/>
      <c r="AI93" s="545"/>
      <c r="AJ93" s="545"/>
    </row>
    <row r="94" spans="1:36" s="322" customFormat="1" ht="15.75" customHeight="1" x14ac:dyDescent="0.35">
      <c r="A94" s="545"/>
      <c r="B94" s="545"/>
      <c r="C94" s="521"/>
      <c r="D94" s="524" t="s">
        <v>340</v>
      </c>
      <c r="E94" s="523"/>
      <c r="F94" s="524" t="s">
        <v>317</v>
      </c>
      <c r="G94" s="524"/>
      <c r="H94" s="521"/>
      <c r="I94" s="521"/>
      <c r="J94" s="559">
        <f>IF('user page'!R41=0, SUM(K11:L11,I11:J11,S11:T11)/(GBDNZ!E70+GBDNZ!E87+GBDNZ!E53),)</f>
        <v>0</v>
      </c>
      <c r="K94" s="529">
        <f>IF('user page'!R41=0,SUM(K55:L55,I55:J55,S55:T55),)</f>
        <v>0</v>
      </c>
      <c r="L94" s="562">
        <f>IF('user page'!R41=0,SUM(K41:L41,I41:J41,S41:T41)/(GBDNZ!H70+GBDNZ!H87+GBDNZ!H53),)</f>
        <v>0</v>
      </c>
      <c r="M94" s="530">
        <f>IF('user page'!R41=0,SUM(K85:L85,I85:J85,S85:T85),)</f>
        <v>0</v>
      </c>
      <c r="N94" s="521"/>
      <c r="AB94" s="304" t="s">
        <v>435</v>
      </c>
      <c r="AC94" s="545"/>
      <c r="AD94" s="545">
        <v>1.87</v>
      </c>
      <c r="AE94" s="545">
        <v>77.17</v>
      </c>
      <c r="AF94" s="545">
        <v>28.26</v>
      </c>
      <c r="AG94" s="545">
        <v>105.42</v>
      </c>
      <c r="AH94" s="545"/>
      <c r="AI94" s="545"/>
      <c r="AJ94" s="545"/>
    </row>
    <row r="95" spans="1:36" s="322" customFormat="1" ht="15.75" customHeight="1" x14ac:dyDescent="0.35">
      <c r="A95" s="545"/>
      <c r="B95" s="545"/>
      <c r="C95" s="521"/>
      <c r="D95" s="524" t="s">
        <v>327</v>
      </c>
      <c r="E95" s="523"/>
      <c r="F95" s="524" t="s">
        <v>317</v>
      </c>
      <c r="G95" s="524"/>
      <c r="H95" s="521"/>
      <c r="I95" s="521"/>
      <c r="J95" s="559"/>
      <c r="K95" s="536">
        <f>IF('user page'!R41=1,K92-R92,0)</f>
        <v>0</v>
      </c>
      <c r="L95" s="563"/>
      <c r="M95" s="529">
        <f>IF('user page'!R41=1,M92-T92,0)</f>
        <v>0</v>
      </c>
      <c r="N95" s="521"/>
      <c r="R95" s="492" t="s">
        <v>351</v>
      </c>
      <c r="S95" s="492"/>
      <c r="T95" s="492"/>
      <c r="U95" s="492"/>
      <c r="V95" s="492"/>
      <c r="W95" s="492"/>
      <c r="X95" s="492"/>
      <c r="Y95" s="492"/>
      <c r="Z95" s="492"/>
      <c r="AB95" s="304" t="s">
        <v>436</v>
      </c>
      <c r="AC95" s="545"/>
      <c r="AD95" s="545">
        <v>64.95</v>
      </c>
      <c r="AE95" s="545">
        <v>2414.83</v>
      </c>
      <c r="AF95" s="545">
        <v>633.17999999999995</v>
      </c>
      <c r="AG95" s="545">
        <v>3048.01</v>
      </c>
      <c r="AH95" s="545"/>
      <c r="AI95" s="545"/>
      <c r="AJ95" s="545"/>
    </row>
    <row r="96" spans="1:36" ht="15.75" customHeight="1" x14ac:dyDescent="0.35">
      <c r="C96" s="521"/>
      <c r="D96" s="524" t="s">
        <v>319</v>
      </c>
      <c r="E96" s="523"/>
      <c r="F96" s="521" t="s">
        <v>32</v>
      </c>
      <c r="G96" s="521"/>
      <c r="H96" s="521"/>
      <c r="I96" s="521"/>
      <c r="J96" s="559">
        <f>Q12</f>
        <v>1.0789727800285104E-3</v>
      </c>
      <c r="K96" s="529">
        <f>SUM(Q55:R55)</f>
        <v>1.7222671341928373</v>
      </c>
      <c r="L96" s="562">
        <f>Q42</f>
        <v>1.659019639262147E-3</v>
      </c>
      <c r="M96" s="530">
        <f>SUM(Q85:R85)</f>
        <v>73.870268322979285</v>
      </c>
      <c r="N96" s="521"/>
      <c r="AB96" s="304" t="s">
        <v>437</v>
      </c>
      <c r="AC96" s="545"/>
      <c r="AD96" s="545">
        <v>434.66</v>
      </c>
      <c r="AE96" s="545">
        <v>20076.41</v>
      </c>
      <c r="AF96" s="545">
        <v>4134.1499999999996</v>
      </c>
      <c r="AG96" s="545">
        <v>24210.560000000001</v>
      </c>
      <c r="AH96" s="545"/>
      <c r="AI96" s="545"/>
      <c r="AJ96" s="545"/>
    </row>
    <row r="97" spans="3:36" ht="15.75" customHeight="1" x14ac:dyDescent="0.35">
      <c r="C97" s="521"/>
      <c r="D97" s="524" t="s">
        <v>319</v>
      </c>
      <c r="E97" s="523"/>
      <c r="F97" s="521" t="s">
        <v>31</v>
      </c>
      <c r="G97" s="521"/>
      <c r="H97" s="521"/>
      <c r="I97" s="521"/>
      <c r="J97" s="559">
        <f>O12</f>
        <v>1.119290616987691E-3</v>
      </c>
      <c r="K97" s="529">
        <f>SUM(O55:P55)</f>
        <v>9.0948824038037266</v>
      </c>
      <c r="L97" s="562">
        <f>O42</f>
        <v>1.1528625824952924E-3</v>
      </c>
      <c r="M97" s="530">
        <f>SUM(O85:P85)</f>
        <v>111.98804452213436</v>
      </c>
      <c r="N97" s="521"/>
      <c r="AB97" s="304"/>
      <c r="AC97" s="304" t="s">
        <v>438</v>
      </c>
      <c r="AD97" s="545"/>
      <c r="AE97" s="545"/>
      <c r="AF97" s="545"/>
      <c r="AG97" s="545"/>
      <c r="AH97" s="545"/>
      <c r="AI97" s="545"/>
      <c r="AJ97" s="545"/>
    </row>
    <row r="98" spans="3:36" ht="15.75" customHeight="1" x14ac:dyDescent="0.35">
      <c r="C98" s="521"/>
      <c r="D98" s="524" t="s">
        <v>319</v>
      </c>
      <c r="E98" s="523"/>
      <c r="F98" s="521" t="s">
        <v>29</v>
      </c>
      <c r="G98" s="521"/>
      <c r="H98" s="521"/>
      <c r="I98" s="521"/>
      <c r="J98" s="559">
        <f>M12</f>
        <v>0</v>
      </c>
      <c r="K98" s="529">
        <f>SUM(M55:N55)</f>
        <v>0</v>
      </c>
      <c r="L98" s="562">
        <f>M42</f>
        <v>4.2350777396155429E-4</v>
      </c>
      <c r="M98" s="530">
        <f>SUM(M85:N85)</f>
        <v>26.069277406201266</v>
      </c>
      <c r="N98" s="521"/>
      <c r="AB98" s="545" t="s">
        <v>439</v>
      </c>
      <c r="AC98" s="545"/>
      <c r="AD98" s="545"/>
      <c r="AE98" s="545"/>
      <c r="AF98" s="545"/>
      <c r="AG98" s="545"/>
      <c r="AH98" s="545"/>
      <c r="AI98" s="545"/>
      <c r="AJ98" s="545"/>
    </row>
    <row r="99" spans="3:36" ht="15.75" customHeight="1" x14ac:dyDescent="0.35">
      <c r="C99" s="521"/>
      <c r="D99" s="524" t="s">
        <v>319</v>
      </c>
      <c r="E99" s="523"/>
      <c r="F99" s="521" t="s">
        <v>69</v>
      </c>
      <c r="G99" s="521"/>
      <c r="H99" s="521"/>
      <c r="I99" s="521"/>
      <c r="J99" s="559">
        <f>G12</f>
        <v>6.5540227880196266E-4</v>
      </c>
      <c r="K99" s="529">
        <f>SUM(G55:H55)</f>
        <v>2.4642202785765366</v>
      </c>
      <c r="L99" s="562">
        <f>G42</f>
        <v>5.7694006914455463E-4</v>
      </c>
      <c r="M99" s="530">
        <f>SUM(G85:H85)</f>
        <v>31.421431928199866</v>
      </c>
      <c r="N99" s="521"/>
      <c r="AB99" s="545" t="s">
        <v>440</v>
      </c>
      <c r="AC99" s="545"/>
      <c r="AD99" s="545"/>
      <c r="AE99" s="545"/>
      <c r="AF99" s="545"/>
      <c r="AG99" s="545"/>
      <c r="AH99" s="545"/>
      <c r="AI99" s="545"/>
      <c r="AJ99" s="545"/>
    </row>
    <row r="100" spans="3:36" ht="15.75" customHeight="1" x14ac:dyDescent="0.35">
      <c r="C100" s="521"/>
      <c r="D100" s="524" t="s">
        <v>319</v>
      </c>
      <c r="E100" s="523"/>
      <c r="F100" s="521" t="s">
        <v>71</v>
      </c>
      <c r="G100" s="521"/>
      <c r="H100" s="521"/>
      <c r="I100" s="521"/>
      <c r="J100" s="559">
        <f>E12</f>
        <v>0.03</v>
      </c>
      <c r="K100" s="529">
        <f>F55</f>
        <v>0.61252318675674355</v>
      </c>
      <c r="L100" s="562">
        <f>E42</f>
        <v>4.0561953764448706E-4</v>
      </c>
      <c r="M100" s="530">
        <f>F85</f>
        <v>11.597997014680741</v>
      </c>
      <c r="N100" s="89"/>
      <c r="AB100" s="545" t="s">
        <v>441</v>
      </c>
      <c r="AC100" s="545"/>
      <c r="AD100" s="545"/>
      <c r="AE100" s="545"/>
      <c r="AF100" s="545"/>
      <c r="AG100" s="545"/>
      <c r="AH100" s="545"/>
      <c r="AI100" s="545"/>
      <c r="AJ100" s="545"/>
    </row>
    <row r="101" spans="3:36" ht="15.75" customHeight="1" x14ac:dyDescent="0.45">
      <c r="C101" s="521"/>
      <c r="D101" s="524" t="s">
        <v>321</v>
      </c>
      <c r="E101" s="523"/>
      <c r="F101" s="521" t="s">
        <v>139</v>
      </c>
      <c r="G101" s="521"/>
      <c r="H101" s="521"/>
      <c r="I101" s="521"/>
      <c r="J101" s="559">
        <f>U12</f>
        <v>0</v>
      </c>
      <c r="K101" s="529">
        <f>SUM(U55:V55)</f>
        <v>0</v>
      </c>
      <c r="L101" s="562">
        <f>U42</f>
        <v>0</v>
      </c>
      <c r="M101" s="530">
        <f>SUM(U85:V85)</f>
        <v>0</v>
      </c>
      <c r="N101" s="521"/>
      <c r="O101" s="232">
        <f>SUM(M93:M100)</f>
        <v>553.17231953373619</v>
      </c>
      <c r="AB101" s="545" t="s">
        <v>442</v>
      </c>
      <c r="AC101" s="545"/>
      <c r="AD101" s="545"/>
      <c r="AE101" s="545"/>
      <c r="AF101" s="545"/>
      <c r="AG101" s="545"/>
      <c r="AH101" s="545"/>
      <c r="AI101" s="545"/>
      <c r="AJ101" s="545"/>
    </row>
    <row r="102" spans="3:36" ht="15.75" customHeight="1" x14ac:dyDescent="0.45">
      <c r="C102" s="521"/>
      <c r="D102" s="524" t="s">
        <v>321</v>
      </c>
      <c r="E102" s="523"/>
      <c r="F102" s="521" t="s">
        <v>318</v>
      </c>
      <c r="G102" s="521"/>
      <c r="H102" s="521"/>
      <c r="I102" s="521"/>
      <c r="J102" s="559">
        <f>AA12</f>
        <v>0</v>
      </c>
      <c r="K102" s="529">
        <f>SUM(AA55:AB55)</f>
        <v>0</v>
      </c>
      <c r="L102" s="562">
        <f>AA42</f>
        <v>0</v>
      </c>
      <c r="M102" s="530">
        <f>SUM(AA85:AB85)</f>
        <v>0</v>
      </c>
      <c r="N102" s="521"/>
      <c r="AB102" s="545" t="s">
        <v>443</v>
      </c>
      <c r="AC102" s="545"/>
      <c r="AD102" s="545"/>
      <c r="AE102" s="545"/>
      <c r="AF102" s="545"/>
      <c r="AG102" s="545"/>
      <c r="AH102" s="545"/>
      <c r="AI102" s="545"/>
      <c r="AJ102" s="545"/>
    </row>
    <row r="103" spans="3:36" ht="15.75" customHeight="1" x14ac:dyDescent="0.45">
      <c r="C103" s="521"/>
      <c r="D103" s="524" t="s">
        <v>321</v>
      </c>
      <c r="E103" s="523"/>
      <c r="F103" s="521" t="s">
        <v>144</v>
      </c>
      <c r="G103" s="521"/>
      <c r="H103" s="521"/>
      <c r="I103" s="521"/>
      <c r="J103" s="559">
        <f>Y12</f>
        <v>0</v>
      </c>
      <c r="K103" s="531">
        <f>SUM(Y55:Z55)</f>
        <v>0</v>
      </c>
      <c r="L103" s="562">
        <f>Y42</f>
        <v>0</v>
      </c>
      <c r="M103" s="530">
        <f>SUM(Y85:Z85)</f>
        <v>0</v>
      </c>
      <c r="N103" s="521"/>
      <c r="AB103" s="545" t="s">
        <v>444</v>
      </c>
      <c r="AC103" s="545"/>
      <c r="AD103" s="545"/>
      <c r="AE103" s="545"/>
      <c r="AF103" s="545"/>
      <c r="AG103" s="545"/>
      <c r="AH103" s="545"/>
      <c r="AI103" s="545"/>
      <c r="AJ103" s="545"/>
    </row>
    <row r="104" spans="3:36" ht="15.75" customHeight="1" x14ac:dyDescent="0.45">
      <c r="C104" s="521"/>
      <c r="D104" s="524" t="s">
        <v>321</v>
      </c>
      <c r="E104" s="523"/>
      <c r="F104" s="521" t="s">
        <v>320</v>
      </c>
      <c r="G104" s="521"/>
      <c r="H104" s="521"/>
      <c r="I104" s="521"/>
      <c r="J104" s="559">
        <f>W12</f>
        <v>0</v>
      </c>
      <c r="K104" s="529">
        <f>SUM(W55:X55)</f>
        <v>0</v>
      </c>
      <c r="L104" s="562">
        <f>W42</f>
        <v>0</v>
      </c>
      <c r="M104" s="530">
        <f>SUM(W85:X85)</f>
        <v>0</v>
      </c>
      <c r="N104" s="521"/>
      <c r="AB104" s="545" t="s">
        <v>445</v>
      </c>
      <c r="AC104" s="545"/>
      <c r="AD104" s="545"/>
      <c r="AE104" s="545"/>
      <c r="AF104" s="545"/>
      <c r="AG104" s="545"/>
      <c r="AH104" s="545"/>
      <c r="AI104" s="545"/>
      <c r="AJ104" s="545"/>
    </row>
    <row r="105" spans="3:36" ht="15.5" x14ac:dyDescent="0.35">
      <c r="D105" s="520"/>
      <c r="F105" s="521" t="s">
        <v>322</v>
      </c>
      <c r="J105" s="185"/>
      <c r="K105" s="531">
        <f>IF('user page'!R41=0, K94+SUM(K96:K104),IF('user page'!R41=2,K93+SUM(K96:K100),SUM(K95:K104)))</f>
        <v>39.012805630489105</v>
      </c>
      <c r="L105" s="562"/>
      <c r="M105" s="531">
        <f>IF('user page'!R41=0, M94+SUM(M96:M104),IF('user page'!R41=2,M93+SUM(M96:M100),SUM(M95:M104)))</f>
        <v>553.17231953373619</v>
      </c>
      <c r="AB105" s="545" t="s">
        <v>446</v>
      </c>
      <c r="AC105" s="545"/>
      <c r="AD105" s="545"/>
      <c r="AE105" s="545"/>
      <c r="AF105" s="545"/>
      <c r="AG105" s="545"/>
      <c r="AH105" s="545"/>
      <c r="AI105" s="545"/>
      <c r="AJ105" s="545"/>
    </row>
    <row r="106" spans="3:36" ht="15.5" x14ac:dyDescent="0.35">
      <c r="D106" s="524"/>
      <c r="E106" s="523"/>
      <c r="F106" s="521" t="s">
        <v>349</v>
      </c>
      <c r="G106" s="521"/>
      <c r="H106" s="521"/>
      <c r="I106" s="521"/>
      <c r="J106" s="560">
        <f>AE12</f>
        <v>6.5720334756750828E-4</v>
      </c>
      <c r="K106" s="532">
        <f>SUM(AE55:AF55)</f>
        <v>59.842737776100023</v>
      </c>
      <c r="L106" s="564">
        <f>AE42</f>
        <v>2.2736725603032562E-4</v>
      </c>
      <c r="M106" s="534">
        <f>SUM(AE85:AF85)</f>
        <v>566.81120980797027</v>
      </c>
    </row>
    <row r="107" spans="3:36" ht="15.5" x14ac:dyDescent="0.35">
      <c r="D107" s="538"/>
      <c r="E107" s="523"/>
      <c r="F107" s="523"/>
      <c r="G107" s="523"/>
      <c r="H107" s="523"/>
      <c r="I107" s="523"/>
      <c r="J107" s="534"/>
      <c r="K107" s="534"/>
      <c r="L107" s="533"/>
      <c r="M107" s="534"/>
      <c r="O107" s="522" t="s">
        <v>332</v>
      </c>
      <c r="AB107" s="323" t="s">
        <v>447</v>
      </c>
      <c r="AC107" s="545">
        <f>'user page'!Q25/'user page'!C25</f>
        <v>1.0484439493915887</v>
      </c>
    </row>
    <row r="108" spans="3:36" ht="15.75" customHeight="1" x14ac:dyDescent="0.35">
      <c r="D108" s="782" t="s">
        <v>453</v>
      </c>
      <c r="E108" s="783"/>
      <c r="F108" s="782"/>
      <c r="G108" s="782"/>
      <c r="H108" s="782"/>
      <c r="I108" s="782"/>
      <c r="J108" s="782"/>
      <c r="K108" s="784">
        <f>SUM(AE120:AE121)</f>
        <v>-0.65518939542748378</v>
      </c>
      <c r="L108" s="785"/>
      <c r="M108" s="784">
        <f>SUM(AH120:AH121)</f>
        <v>-14.232957538162509</v>
      </c>
      <c r="O108" s="531">
        <f>100000*M108/SUM($C$47:$D$54)</f>
        <v>-0.24032009351055314</v>
      </c>
      <c r="AB108" s="323" t="s">
        <v>448</v>
      </c>
      <c r="AC108" s="545">
        <f>'user page'!Q24/'user page'!C24</f>
        <v>0.9179498202841484</v>
      </c>
    </row>
    <row r="109" spans="3:36" ht="15.5" x14ac:dyDescent="0.35">
      <c r="D109" s="521" t="s">
        <v>328</v>
      </c>
      <c r="E109" s="523"/>
      <c r="F109" s="521" t="s">
        <v>333</v>
      </c>
      <c r="G109" s="521"/>
      <c r="H109" s="521"/>
      <c r="I109" s="521"/>
      <c r="J109" s="521"/>
      <c r="K109" s="529">
        <f>IF('user page'!R41=2,K93,K95) + SUM(K96:K100)</f>
        <v>39.012805630489105</v>
      </c>
      <c r="L109" s="526"/>
      <c r="M109" s="529">
        <f>IF('user page'!R41=2,M93,M95) + SUM(M96:M100)</f>
        <v>553.17231953373619</v>
      </c>
      <c r="N109" s="521"/>
      <c r="O109" s="531">
        <f>100000*M109/SUM($C$47:$D$54)</f>
        <v>9.340182685246706</v>
      </c>
      <c r="AB109" s="323" t="s">
        <v>449</v>
      </c>
      <c r="AC109" s="545">
        <f>'user page'!Q28/'user page'!C28</f>
        <v>1.026562102550389</v>
      </c>
    </row>
    <row r="110" spans="3:36" ht="15.5" x14ac:dyDescent="0.35">
      <c r="D110" s="521" t="s">
        <v>329</v>
      </c>
      <c r="E110" s="523"/>
      <c r="F110" s="521" t="s">
        <v>334</v>
      </c>
      <c r="G110" s="521"/>
      <c r="H110" s="521"/>
      <c r="I110" s="521"/>
      <c r="J110" s="521"/>
      <c r="K110" s="529">
        <f>IF('user page'!R41=2,0, R92+SUM(K101:K104))</f>
        <v>0</v>
      </c>
      <c r="L110" s="526"/>
      <c r="M110" s="529">
        <f>IF('user page'!R41=2,0, T92+SUM(M101:M104))</f>
        <v>0</v>
      </c>
      <c r="N110" s="521"/>
      <c r="O110" s="531">
        <f t="shared" ref="O110:O111" si="51">100000*M110/SUM($C$47:$D$54)</f>
        <v>0</v>
      </c>
      <c r="Y110" s="521"/>
      <c r="Z110" s="521"/>
      <c r="AA110" s="521"/>
      <c r="AB110" s="521" t="s">
        <v>61</v>
      </c>
      <c r="AC110" s="525">
        <f>'user page'!$Y$1</f>
        <v>1</v>
      </c>
      <c r="AE110" t="s">
        <v>429</v>
      </c>
      <c r="AF110" t="s">
        <v>430</v>
      </c>
      <c r="AG110" t="s">
        <v>431</v>
      </c>
      <c r="AH110" t="s">
        <v>28</v>
      </c>
    </row>
    <row r="111" spans="3:36" ht="15.5" x14ac:dyDescent="0.35">
      <c r="D111" s="541" t="s">
        <v>70</v>
      </c>
      <c r="E111" s="266"/>
      <c r="F111" s="266"/>
      <c r="G111" s="266"/>
      <c r="H111" s="266"/>
      <c r="I111" s="266"/>
      <c r="J111" s="266"/>
      <c r="K111" s="542">
        <f>SUM(K108:K110)</f>
        <v>38.35761623506162</v>
      </c>
      <c r="L111" s="522"/>
      <c r="M111" s="535">
        <f>SUM(M108:M110)</f>
        <v>538.93936199557368</v>
      </c>
      <c r="N111" s="522"/>
      <c r="O111" s="531">
        <f t="shared" si="51"/>
        <v>9.0998625917361533</v>
      </c>
      <c r="Y111" s="521"/>
      <c r="Z111" s="521"/>
      <c r="AA111" s="521"/>
      <c r="AB111" s="521" t="s">
        <v>450</v>
      </c>
      <c r="AC111" s="521"/>
      <c r="AD111" s="521"/>
      <c r="AE111">
        <f>AD91*$AC$107^0.5*$AC$109^0.7</f>
        <v>12.952806087894668</v>
      </c>
      <c r="AF111">
        <f t="shared" ref="AF111:AH111" si="52">AE91*$AC$107^0.5*$AC$109^0.7</f>
        <v>621.48439644912969</v>
      </c>
      <c r="AG111">
        <f t="shared" si="52"/>
        <v>287.45426264141764</v>
      </c>
      <c r="AH111">
        <f t="shared" si="52"/>
        <v>908.93865909054716</v>
      </c>
    </row>
    <row r="112" spans="3:36" ht="15.5" x14ac:dyDescent="0.35">
      <c r="Y112" s="521"/>
      <c r="Z112" s="521"/>
      <c r="AA112" s="521"/>
      <c r="AB112" s="521" t="s">
        <v>451</v>
      </c>
      <c r="AC112" s="521"/>
      <c r="AD112" s="531"/>
      <c r="AE112">
        <f>AD95*$AC$108^0.4*$AC$109^0.7</f>
        <v>63.925832288005594</v>
      </c>
      <c r="AF112">
        <f t="shared" ref="AF112:AH112" si="53">AE95*$AC$108^0.4*$AC$109^0.7</f>
        <v>2376.7516179221639</v>
      </c>
      <c r="AG112">
        <f t="shared" si="53"/>
        <v>623.1956657139242</v>
      </c>
      <c r="AH112">
        <f t="shared" si="53"/>
        <v>2999.9472836360883</v>
      </c>
    </row>
    <row r="113" spans="4:34" ht="16" thickBot="1" x14ac:dyDescent="0.4">
      <c r="D113" s="543" t="s">
        <v>335</v>
      </c>
      <c r="E113" s="544"/>
      <c r="F113" s="543" t="s">
        <v>336</v>
      </c>
      <c r="G113" s="544"/>
      <c r="H113" s="544"/>
      <c r="I113" s="544"/>
      <c r="J113" s="544"/>
      <c r="K113" s="544"/>
      <c r="L113" s="544"/>
      <c r="M113" s="544"/>
      <c r="Y113" s="521"/>
      <c r="Z113" s="521"/>
      <c r="AA113" s="521"/>
      <c r="AB113" s="521" t="s">
        <v>452</v>
      </c>
      <c r="AC113" s="521"/>
      <c r="AD113" s="531"/>
    </row>
    <row r="114" spans="4:34" ht="15.5" x14ac:dyDescent="0.35">
      <c r="D114" s="525">
        <v>1</v>
      </c>
      <c r="F114" s="540" t="s">
        <v>337</v>
      </c>
      <c r="Y114" s="521"/>
      <c r="Z114" s="521"/>
      <c r="AA114" s="521"/>
      <c r="AB114" s="521"/>
      <c r="AC114" s="521"/>
      <c r="AD114" s="531"/>
      <c r="AE114" s="545"/>
      <c r="AF114" s="545"/>
      <c r="AG114" s="545"/>
      <c r="AH114" s="545"/>
    </row>
    <row r="115" spans="4:34" ht="15.5" x14ac:dyDescent="0.35">
      <c r="D115" s="525">
        <v>2</v>
      </c>
      <c r="F115" s="540" t="s">
        <v>338</v>
      </c>
      <c r="Y115" s="521"/>
      <c r="Z115" s="521"/>
      <c r="AA115" s="521"/>
      <c r="AB115" s="521" t="s">
        <v>455</v>
      </c>
      <c r="AC115" s="521"/>
      <c r="AD115" s="531"/>
      <c r="AE115" s="545" t="s">
        <v>429</v>
      </c>
      <c r="AF115" s="545" t="s">
        <v>430</v>
      </c>
      <c r="AG115" s="545" t="s">
        <v>431</v>
      </c>
      <c r="AH115" s="545" t="s">
        <v>28</v>
      </c>
    </row>
    <row r="116" spans="4:34" ht="15.5" x14ac:dyDescent="0.35">
      <c r="D116" s="525">
        <v>3</v>
      </c>
      <c r="F116" s="540" t="s">
        <v>358</v>
      </c>
      <c r="Y116" s="521"/>
      <c r="Z116" s="521"/>
      <c r="AA116" s="521"/>
      <c r="AB116" s="521" t="s">
        <v>450</v>
      </c>
      <c r="AC116" s="521"/>
      <c r="AD116" s="531"/>
      <c r="AE116" s="545">
        <f>AE111-AD91</f>
        <v>0.53280608789466832</v>
      </c>
      <c r="AF116" s="545">
        <f t="shared" ref="AF116:AH116" si="54">AF111-AE91</f>
        <v>25.564396449129731</v>
      </c>
      <c r="AG116" s="545">
        <f t="shared" si="54"/>
        <v>11.824262641417647</v>
      </c>
      <c r="AH116" s="545">
        <f t="shared" si="54"/>
        <v>37.388659090547208</v>
      </c>
    </row>
    <row r="117" spans="4:34" ht="15.5" x14ac:dyDescent="0.35">
      <c r="D117" s="525">
        <v>4</v>
      </c>
      <c r="F117" s="540" t="s">
        <v>339</v>
      </c>
      <c r="Y117" s="521"/>
      <c r="Z117" s="521"/>
      <c r="AA117" s="521"/>
      <c r="AB117" s="521" t="s">
        <v>451</v>
      </c>
      <c r="AC117" s="521"/>
      <c r="AD117" s="531"/>
      <c r="AE117" s="545">
        <f>AE112-AD95</f>
        <v>-1.0241677119944086</v>
      </c>
      <c r="AF117" s="545">
        <f t="shared" ref="AF117:AH117" si="55">AF112-AE95</f>
        <v>-38.078382077836068</v>
      </c>
      <c r="AG117" s="545">
        <f t="shared" si="55"/>
        <v>-9.9843342860757502</v>
      </c>
      <c r="AH117" s="545">
        <f t="shared" si="55"/>
        <v>-48.062716363911932</v>
      </c>
    </row>
    <row r="118" spans="4:34" ht="15.5" x14ac:dyDescent="0.35">
      <c r="D118" s="73"/>
      <c r="F118" s="443"/>
      <c r="Y118" s="521"/>
      <c r="Z118" s="521"/>
      <c r="AA118" s="521"/>
      <c r="AB118" s="521"/>
      <c r="AC118" s="521"/>
      <c r="AD118" s="786" t="s">
        <v>456</v>
      </c>
      <c r="AE118" s="787">
        <f>SUM(AE116:AE117)</f>
        <v>-0.49136162409974027</v>
      </c>
      <c r="AF118" s="787">
        <f t="shared" ref="AF118:AH118" si="56">SUM(AF116:AF117)</f>
        <v>-12.513985628706337</v>
      </c>
      <c r="AG118" s="787">
        <f t="shared" si="56"/>
        <v>1.8399283553418968</v>
      </c>
      <c r="AH118" s="787">
        <f t="shared" si="56"/>
        <v>-10.674057273364724</v>
      </c>
    </row>
    <row r="119" spans="4:34" ht="15.5" x14ac:dyDescent="0.35">
      <c r="Y119" s="521"/>
      <c r="Z119" s="521"/>
      <c r="AA119" s="521"/>
      <c r="AB119" s="521" t="s">
        <v>454</v>
      </c>
      <c r="AC119" s="521"/>
      <c r="AD119" s="531"/>
      <c r="AE119" s="545" t="s">
        <v>429</v>
      </c>
      <c r="AF119" s="545" t="s">
        <v>430</v>
      </c>
      <c r="AG119" s="545" t="s">
        <v>431</v>
      </c>
      <c r="AH119" s="545" t="s">
        <v>28</v>
      </c>
    </row>
    <row r="120" spans="4:34" ht="15.5" x14ac:dyDescent="0.35">
      <c r="Y120" s="521"/>
      <c r="Z120" s="521"/>
      <c r="AA120" s="521"/>
      <c r="AB120" s="521" t="s">
        <v>450</v>
      </c>
      <c r="AC120" s="521"/>
      <c r="AD120" s="531"/>
      <c r="AE120">
        <f>AE116*SUM($C$47:$D$54)/'user page'!$C$33</f>
        <v>0.71045210184531993</v>
      </c>
      <c r="AF120" s="545">
        <f>AF116*SUM($C$47:$D$54)/'user page'!$C$33</f>
        <v>34.087972345544586</v>
      </c>
      <c r="AG120" s="545">
        <f>AG116*SUM($C$47:$D$54)/'user page'!$C$33</f>
        <v>15.766659648279003</v>
      </c>
      <c r="AH120" s="545">
        <f>AH116*SUM($C$47:$D$54)/'user page'!$C$33</f>
        <v>49.854631993823361</v>
      </c>
    </row>
    <row r="121" spans="4:34" ht="15.5" x14ac:dyDescent="0.35">
      <c r="Y121" s="521"/>
      <c r="Z121" s="521"/>
      <c r="AA121" s="521"/>
      <c r="AB121" s="521" t="s">
        <v>451</v>
      </c>
      <c r="AC121" s="521"/>
      <c r="AD121" s="531"/>
      <c r="AE121" s="545">
        <f>AE117*SUM($C$47:$D$54)/'user page'!$C$33</f>
        <v>-1.3656414972728037</v>
      </c>
      <c r="AF121" s="545">
        <f>AF117*SUM($C$47:$D$54)/'user page'!$C$33</f>
        <v>-50.774319582128989</v>
      </c>
      <c r="AG121" s="545">
        <f>AG117*SUM($C$47:$D$54)/'user page'!$C$33</f>
        <v>-13.313269949856725</v>
      </c>
      <c r="AH121" s="545">
        <f>AH117*SUM($C$47:$D$54)/'user page'!$C$33</f>
        <v>-64.08758953198587</v>
      </c>
    </row>
    <row r="122" spans="4:34" ht="15.5" x14ac:dyDescent="0.35">
      <c r="Y122" s="521"/>
      <c r="Z122" s="521"/>
      <c r="AA122" s="521"/>
      <c r="AB122" s="521"/>
      <c r="AC122" s="521"/>
      <c r="AD122" s="786" t="s">
        <v>456</v>
      </c>
      <c r="AE122" s="787">
        <f>SUM(AE120:AE121)</f>
        <v>-0.65518939542748378</v>
      </c>
      <c r="AF122" s="787">
        <f t="shared" ref="AF122" si="57">SUM(AF120:AF121)</f>
        <v>-16.686347236584403</v>
      </c>
      <c r="AG122" s="787">
        <f t="shared" ref="AG122" si="58">SUM(AG120:AG121)</f>
        <v>2.4533896984222778</v>
      </c>
      <c r="AH122" s="787">
        <f t="shared" ref="AH122" si="59">SUM(AH120:AH121)</f>
        <v>-14.232957538162509</v>
      </c>
    </row>
    <row r="123" spans="4:34" ht="15.5" x14ac:dyDescent="0.35">
      <c r="Y123" s="521"/>
      <c r="Z123" s="521"/>
      <c r="AA123" s="521"/>
      <c r="AB123" s="521"/>
      <c r="AC123" s="521"/>
      <c r="AD123" s="531"/>
    </row>
    <row r="124" spans="4:34" ht="15.5" x14ac:dyDescent="0.35">
      <c r="Y124" s="521"/>
      <c r="Z124" s="521"/>
      <c r="AA124" s="521"/>
      <c r="AB124" s="521"/>
      <c r="AC124" s="521"/>
      <c r="AD124" s="531"/>
    </row>
    <row r="125" spans="4:34" ht="15.5" x14ac:dyDescent="0.35">
      <c r="Y125" s="521"/>
      <c r="Z125" s="521"/>
      <c r="AA125" s="521"/>
      <c r="AB125" s="521"/>
      <c r="AC125" s="521"/>
      <c r="AD125" s="531"/>
    </row>
    <row r="126" spans="4:34" ht="15.5" x14ac:dyDescent="0.35">
      <c r="Y126" s="521"/>
      <c r="Z126" s="521"/>
      <c r="AA126" s="521"/>
      <c r="AB126" s="521"/>
      <c r="AC126" s="521"/>
      <c r="AD126" s="531"/>
    </row>
    <row r="127" spans="4:34" ht="15.5" x14ac:dyDescent="0.35">
      <c r="AB127" s="521"/>
      <c r="AC127" s="521"/>
      <c r="AD127" s="531"/>
    </row>
    <row r="128" spans="4:34" ht="15.5" x14ac:dyDescent="0.35">
      <c r="AB128" s="521"/>
      <c r="AC128" s="521"/>
      <c r="AD128" s="531"/>
    </row>
    <row r="129" spans="28:30" ht="15.5" x14ac:dyDescent="0.35">
      <c r="AB129" s="521"/>
      <c r="AC129" s="521"/>
      <c r="AD129" s="531"/>
    </row>
    <row r="130" spans="28:30" ht="15.5" x14ac:dyDescent="0.35">
      <c r="AB130" s="521"/>
      <c r="AC130" s="521"/>
      <c r="AD130" s="531"/>
    </row>
    <row r="131" spans="28:30" ht="15.5" x14ac:dyDescent="0.35">
      <c r="AB131" s="521"/>
      <c r="AC131" s="521"/>
      <c r="AD131" s="531"/>
    </row>
  </sheetData>
  <mergeCells count="164">
    <mergeCell ref="C23:C32"/>
    <mergeCell ref="C33:C42"/>
    <mergeCell ref="O42:P42"/>
    <mergeCell ref="L90:M90"/>
    <mergeCell ref="D90:D91"/>
    <mergeCell ref="Q45:R45"/>
    <mergeCell ref="A77:A86"/>
    <mergeCell ref="A67:A76"/>
    <mergeCell ref="A57:A66"/>
    <mergeCell ref="A47:A56"/>
    <mergeCell ref="E42:F42"/>
    <mergeCell ref="G42:H42"/>
    <mergeCell ref="G32:H32"/>
    <mergeCell ref="E45:F45"/>
    <mergeCell ref="G45:H45"/>
    <mergeCell ref="I45:J45"/>
    <mergeCell ref="K45:L45"/>
    <mergeCell ref="J90:K90"/>
    <mergeCell ref="M45:N45"/>
    <mergeCell ref="C45:D45"/>
    <mergeCell ref="B55:D56"/>
    <mergeCell ref="B65:D66"/>
    <mergeCell ref="B75:D76"/>
    <mergeCell ref="A45:B46"/>
    <mergeCell ref="AE1:AF1"/>
    <mergeCell ref="AE12:AF12"/>
    <mergeCell ref="AE22:AF22"/>
    <mergeCell ref="AE32:AF32"/>
    <mergeCell ref="S1:T1"/>
    <mergeCell ref="S12:T12"/>
    <mergeCell ref="S22:T22"/>
    <mergeCell ref="S32:T32"/>
    <mergeCell ref="S42:T42"/>
    <mergeCell ref="AC12:AD12"/>
    <mergeCell ref="AA1:AB1"/>
    <mergeCell ref="AA12:AB12"/>
    <mergeCell ref="AC1:AD1"/>
    <mergeCell ref="U12:V12"/>
    <mergeCell ref="W12:X12"/>
    <mergeCell ref="Q1:R1"/>
    <mergeCell ref="Q12:R12"/>
    <mergeCell ref="Q32:R32"/>
    <mergeCell ref="AE42:AF42"/>
    <mergeCell ref="C13:C22"/>
    <mergeCell ref="M12:N12"/>
    <mergeCell ref="M22:N22"/>
    <mergeCell ref="O22:P22"/>
    <mergeCell ref="Q90:R90"/>
    <mergeCell ref="S90:T90"/>
    <mergeCell ref="O90:P91"/>
    <mergeCell ref="E32:F32"/>
    <mergeCell ref="D11:D12"/>
    <mergeCell ref="D21:D22"/>
    <mergeCell ref="D31:D32"/>
    <mergeCell ref="D41:D42"/>
    <mergeCell ref="E12:F12"/>
    <mergeCell ref="G12:H12"/>
    <mergeCell ref="Q42:R42"/>
    <mergeCell ref="I42:J42"/>
    <mergeCell ref="K42:L42"/>
    <mergeCell ref="M42:N42"/>
    <mergeCell ref="M32:N32"/>
    <mergeCell ref="O32:P32"/>
    <mergeCell ref="C3:C12"/>
    <mergeCell ref="Y32:Z32"/>
    <mergeCell ref="K32:L32"/>
    <mergeCell ref="Q22:R22"/>
    <mergeCell ref="O12:P12"/>
    <mergeCell ref="E1:F1"/>
    <mergeCell ref="G1:H1"/>
    <mergeCell ref="I1:J1"/>
    <mergeCell ref="U32:V32"/>
    <mergeCell ref="K1:L1"/>
    <mergeCell ref="M1:N1"/>
    <mergeCell ref="U1:V1"/>
    <mergeCell ref="W1:X1"/>
    <mergeCell ref="Y1:Z1"/>
    <mergeCell ref="Y12:Z12"/>
    <mergeCell ref="E22:F22"/>
    <mergeCell ref="G22:H22"/>
    <mergeCell ref="W32:X32"/>
    <mergeCell ref="O1:P1"/>
    <mergeCell ref="K22:L22"/>
    <mergeCell ref="I12:J12"/>
    <mergeCell ref="I22:J22"/>
    <mergeCell ref="I32:J32"/>
    <mergeCell ref="K12:L12"/>
    <mergeCell ref="Y45:Z45"/>
    <mergeCell ref="AA45:AB45"/>
    <mergeCell ref="AC45:AD45"/>
    <mergeCell ref="AC22:AD22"/>
    <mergeCell ref="W42:X42"/>
    <mergeCell ref="Y42:Z42"/>
    <mergeCell ref="AE45:AF45"/>
    <mergeCell ref="O45:P45"/>
    <mergeCell ref="AC56:AD56"/>
    <mergeCell ref="AE56:AF56"/>
    <mergeCell ref="S45:T45"/>
    <mergeCell ref="U45:V45"/>
    <mergeCell ref="W45:X45"/>
    <mergeCell ref="AA42:AB42"/>
    <mergeCell ref="U22:V22"/>
    <mergeCell ref="W22:X22"/>
    <mergeCell ref="Y22:Z22"/>
    <mergeCell ref="AC42:AD42"/>
    <mergeCell ref="AC32:AD32"/>
    <mergeCell ref="U42:V42"/>
    <mergeCell ref="AA22:AB22"/>
    <mergeCell ref="AA32:AB32"/>
    <mergeCell ref="AE66:AF66"/>
    <mergeCell ref="E76:F76"/>
    <mergeCell ref="G76:H76"/>
    <mergeCell ref="I76:J76"/>
    <mergeCell ref="K76:L76"/>
    <mergeCell ref="M76:N76"/>
    <mergeCell ref="O76:P76"/>
    <mergeCell ref="Q76:R76"/>
    <mergeCell ref="S76:T76"/>
    <mergeCell ref="U76:V76"/>
    <mergeCell ref="W76:X76"/>
    <mergeCell ref="Y76:Z76"/>
    <mergeCell ref="E66:F66"/>
    <mergeCell ref="G66:H66"/>
    <mergeCell ref="I66:J66"/>
    <mergeCell ref="K66:L66"/>
    <mergeCell ref="M66:N66"/>
    <mergeCell ref="O66:P66"/>
    <mergeCell ref="Q66:R66"/>
    <mergeCell ref="S66:T66"/>
    <mergeCell ref="U66:V66"/>
    <mergeCell ref="AE86:AF86"/>
    <mergeCell ref="AA76:AB76"/>
    <mergeCell ref="AC76:AD76"/>
    <mergeCell ref="AE76:AF76"/>
    <mergeCell ref="E86:F86"/>
    <mergeCell ref="G86:H86"/>
    <mergeCell ref="I86:J86"/>
    <mergeCell ref="K86:L86"/>
    <mergeCell ref="M86:N86"/>
    <mergeCell ref="O86:P86"/>
    <mergeCell ref="Q86:R86"/>
    <mergeCell ref="S86:T86"/>
    <mergeCell ref="U86:V86"/>
    <mergeCell ref="W86:X86"/>
    <mergeCell ref="B85:D86"/>
    <mergeCell ref="Y86:Z86"/>
    <mergeCell ref="AA86:AB86"/>
    <mergeCell ref="AC86:AD86"/>
    <mergeCell ref="W66:X66"/>
    <mergeCell ref="Y66:Z66"/>
    <mergeCell ref="AA66:AB66"/>
    <mergeCell ref="AC66:AD66"/>
    <mergeCell ref="E56:F56"/>
    <mergeCell ref="G56:H56"/>
    <mergeCell ref="I56:J56"/>
    <mergeCell ref="K56:L56"/>
    <mergeCell ref="M56:N56"/>
    <mergeCell ref="O56:P56"/>
    <mergeCell ref="Q56:R56"/>
    <mergeCell ref="S56:T56"/>
    <mergeCell ref="U56:V56"/>
    <mergeCell ref="W56:X56"/>
    <mergeCell ref="Y56:Z56"/>
    <mergeCell ref="AA56:AB56"/>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53"/>
  <sheetViews>
    <sheetView topLeftCell="A7" zoomScale="80" zoomScaleNormal="80" workbookViewId="0">
      <selection sqref="A1:C1"/>
    </sheetView>
  </sheetViews>
  <sheetFormatPr defaultColWidth="9.1796875" defaultRowHeight="16.5" x14ac:dyDescent="0.35"/>
  <cols>
    <col min="1" max="1" width="14.7265625" style="63" customWidth="1"/>
    <col min="2" max="2" width="9" style="63" customWidth="1"/>
    <col min="3" max="3" width="7.1796875" style="63" customWidth="1"/>
    <col min="4" max="4" width="7.453125" style="62" customWidth="1"/>
    <col min="5" max="5" width="8.7265625" style="62" customWidth="1"/>
    <col min="6" max="6" width="7.453125" style="349" customWidth="1"/>
    <col min="7" max="7" width="6" style="62" customWidth="1"/>
    <col min="8" max="8" width="7.1796875" style="47" customWidth="1"/>
    <col min="9" max="10" width="6.81640625" style="62" customWidth="1"/>
    <col min="11" max="11" width="6.26953125" style="62" customWidth="1"/>
    <col min="12" max="12" width="6.7265625" style="62" customWidth="1"/>
    <col min="13" max="13" width="6.7265625" style="63" customWidth="1"/>
    <col min="14" max="15" width="8.7265625" style="63" customWidth="1"/>
    <col min="16" max="16" width="7.453125" style="63" customWidth="1"/>
    <col min="17" max="17" width="7.1796875" style="63" customWidth="1"/>
    <col min="18" max="18" width="6.7265625" style="63" customWidth="1"/>
    <col min="19" max="21" width="7.7265625" style="63" customWidth="1"/>
    <col min="22" max="22" width="6.1796875" style="63" customWidth="1"/>
    <col min="23" max="23" width="5.453125" style="63" customWidth="1"/>
    <col min="24" max="24" width="6.7265625" style="63" customWidth="1"/>
    <col min="25" max="26" width="7.453125" style="63" customWidth="1"/>
    <col min="27" max="27" width="5.26953125" style="63" customWidth="1"/>
    <col min="28" max="28" width="5.81640625" style="63" customWidth="1"/>
    <col min="29" max="29" width="7.26953125" style="63" customWidth="1"/>
    <col min="30" max="30" width="7" style="63" customWidth="1"/>
    <col min="31" max="31" width="5.453125" style="63" customWidth="1"/>
    <col min="32" max="32" width="5.26953125" style="63" customWidth="1"/>
    <col min="33" max="34" width="7.26953125" style="64" customWidth="1"/>
    <col min="35" max="35" width="6.453125" style="64" customWidth="1"/>
    <col min="36" max="36" width="7" style="64" customWidth="1"/>
    <col min="37" max="38" width="6.453125" style="64" customWidth="1"/>
    <col min="39" max="39" width="9" style="64" customWidth="1"/>
    <col min="40" max="40" width="6.26953125" style="64" customWidth="1"/>
    <col min="41" max="43" width="5.26953125" style="64" customWidth="1"/>
    <col min="44" max="44" width="5.26953125" style="334" customWidth="1"/>
    <col min="45" max="49" width="5.26953125" style="64" customWidth="1"/>
    <col min="50" max="16384" width="9.1796875" style="63"/>
  </cols>
  <sheetData>
    <row r="1" spans="1:44" ht="27.65" customHeight="1" x14ac:dyDescent="0.4">
      <c r="A1" s="1027" t="s">
        <v>61</v>
      </c>
      <c r="B1" s="1027"/>
      <c r="C1" s="1027"/>
      <c r="D1" s="61">
        <v>0</v>
      </c>
    </row>
    <row r="2" spans="1:44" ht="18" customHeight="1" thickBot="1" x14ac:dyDescent="0.4">
      <c r="A2" s="1018" t="s">
        <v>19</v>
      </c>
      <c r="B2" s="1019"/>
      <c r="C2" s="1019"/>
      <c r="D2" s="1009" t="s">
        <v>105</v>
      </c>
      <c r="E2" s="1009"/>
      <c r="F2" s="1009"/>
      <c r="G2" s="1009"/>
      <c r="H2" s="1009"/>
      <c r="I2" s="1009"/>
      <c r="J2" s="1009"/>
      <c r="K2" s="1009"/>
      <c r="L2" s="1009"/>
      <c r="M2" s="1009"/>
      <c r="N2" s="1009"/>
      <c r="O2" s="1009"/>
      <c r="P2" s="1009"/>
      <c r="Q2" s="1009"/>
      <c r="R2" s="1009" t="s">
        <v>401</v>
      </c>
      <c r="S2" s="1009"/>
      <c r="T2" s="1009"/>
      <c r="U2" s="1009"/>
      <c r="V2" s="1009"/>
      <c r="W2" s="1009"/>
      <c r="X2" s="1009"/>
      <c r="Y2" s="1009"/>
      <c r="Z2" s="1009"/>
      <c r="AA2" s="1009"/>
      <c r="AB2" s="1009"/>
      <c r="AC2" s="1009"/>
      <c r="AD2" s="1009" t="s">
        <v>14</v>
      </c>
      <c r="AE2" s="1009"/>
      <c r="AF2" s="1009"/>
      <c r="AG2" s="1009"/>
      <c r="AH2" s="1009" t="s">
        <v>97</v>
      </c>
      <c r="AI2" s="1009"/>
      <c r="AJ2" s="1009"/>
      <c r="AK2" s="1009"/>
    </row>
    <row r="3" spans="1:44" s="65" customFormat="1" ht="13.4" customHeight="1" x14ac:dyDescent="0.3">
      <c r="A3" s="57"/>
      <c r="B3" s="58"/>
      <c r="C3" s="58"/>
      <c r="D3" s="1009" t="s">
        <v>99</v>
      </c>
      <c r="E3" s="1009"/>
      <c r="F3" s="1009"/>
      <c r="G3" s="1009"/>
      <c r="H3" s="1009"/>
      <c r="I3" s="1009"/>
      <c r="J3" s="1023" t="s">
        <v>84</v>
      </c>
      <c r="K3" s="1024"/>
      <c r="L3" s="1024"/>
      <c r="M3" s="1024"/>
      <c r="N3" s="1024"/>
      <c r="O3" s="1024"/>
      <c r="P3" s="1024"/>
      <c r="Q3" s="1025"/>
      <c r="R3" s="1022" t="s">
        <v>17</v>
      </c>
      <c r="S3" s="1022"/>
      <c r="T3" s="1022"/>
      <c r="U3" s="1022"/>
      <c r="V3" s="1022"/>
      <c r="W3" s="1022"/>
      <c r="X3" s="1022" t="s">
        <v>18</v>
      </c>
      <c r="Y3" s="1022"/>
      <c r="Z3" s="1022"/>
      <c r="AA3" s="1022"/>
      <c r="AB3" s="1022"/>
      <c r="AC3" s="1022"/>
      <c r="AD3" s="55" t="s">
        <v>106</v>
      </c>
      <c r="AE3" s="55"/>
      <c r="AF3" s="55" t="s">
        <v>106</v>
      </c>
      <c r="AG3" s="42">
        <v>6</v>
      </c>
      <c r="AH3" s="44"/>
      <c r="AI3" s="44"/>
      <c r="AJ3" s="44"/>
      <c r="AK3" s="44"/>
      <c r="AR3" s="335"/>
    </row>
    <row r="4" spans="1:44" ht="13.4" customHeight="1" x14ac:dyDescent="0.35">
      <c r="A4" s="1020" t="s">
        <v>16</v>
      </c>
      <c r="B4" s="1021"/>
      <c r="C4" s="1021"/>
      <c r="D4" s="1010" t="s">
        <v>89</v>
      </c>
      <c r="E4" s="1010"/>
      <c r="F4" s="1010" t="s">
        <v>100</v>
      </c>
      <c r="G4" s="1010"/>
      <c r="H4" s="1010" t="s">
        <v>82</v>
      </c>
      <c r="I4" s="1010"/>
      <c r="J4" s="1010" t="s">
        <v>90</v>
      </c>
      <c r="K4" s="1010"/>
      <c r="L4" s="1010" t="s">
        <v>100</v>
      </c>
      <c r="M4" s="1010"/>
      <c r="N4" s="1010" t="s">
        <v>98</v>
      </c>
      <c r="O4" s="1010"/>
      <c r="P4" s="1010" t="s">
        <v>101</v>
      </c>
      <c r="Q4" s="1010"/>
      <c r="R4" s="1010" t="s">
        <v>102</v>
      </c>
      <c r="S4" s="1010"/>
      <c r="T4" s="1010" t="s">
        <v>100</v>
      </c>
      <c r="U4" s="1010"/>
      <c r="V4" s="1010" t="s">
        <v>98</v>
      </c>
      <c r="W4" s="1010" t="s">
        <v>10</v>
      </c>
      <c r="X4" s="1010" t="s">
        <v>103</v>
      </c>
      <c r="Y4" s="1010"/>
      <c r="Z4" s="1010" t="s">
        <v>104</v>
      </c>
      <c r="AA4" s="1010"/>
      <c r="AB4" s="1010" t="s">
        <v>98</v>
      </c>
      <c r="AC4" s="1010"/>
      <c r="AD4" s="1010" t="s">
        <v>99</v>
      </c>
      <c r="AE4" s="1010"/>
      <c r="AF4" s="1010" t="s">
        <v>84</v>
      </c>
      <c r="AG4" s="1010"/>
      <c r="AH4" s="1010" t="s">
        <v>99</v>
      </c>
      <c r="AI4" s="1010"/>
      <c r="AJ4" s="1010" t="s">
        <v>84</v>
      </c>
      <c r="AK4" s="1010"/>
    </row>
    <row r="5" spans="1:44" ht="13.4" customHeight="1" x14ac:dyDescent="0.35">
      <c r="A5" s="41"/>
      <c r="B5" s="59" t="s">
        <v>25</v>
      </c>
      <c r="C5" s="59" t="s">
        <v>26</v>
      </c>
      <c r="D5" s="56" t="s">
        <v>25</v>
      </c>
      <c r="E5" s="56" t="s">
        <v>26</v>
      </c>
      <c r="F5" s="328" t="s">
        <v>25</v>
      </c>
      <c r="G5" s="56" t="s">
        <v>26</v>
      </c>
      <c r="H5" s="56" t="s">
        <v>25</v>
      </c>
      <c r="I5" s="56" t="s">
        <v>26</v>
      </c>
      <c r="J5" s="56" t="s">
        <v>25</v>
      </c>
      <c r="K5" s="56" t="s">
        <v>26</v>
      </c>
      <c r="L5" s="56" t="s">
        <v>25</v>
      </c>
      <c r="M5" s="56" t="s">
        <v>26</v>
      </c>
      <c r="N5" s="56" t="s">
        <v>25</v>
      </c>
      <c r="O5" s="56" t="s">
        <v>26</v>
      </c>
      <c r="P5" s="56" t="s">
        <v>25</v>
      </c>
      <c r="Q5" s="56" t="s">
        <v>26</v>
      </c>
      <c r="R5" s="56" t="s">
        <v>25</v>
      </c>
      <c r="S5" s="56" t="s">
        <v>26</v>
      </c>
      <c r="T5" s="56" t="s">
        <v>25</v>
      </c>
      <c r="U5" s="56" t="s">
        <v>26</v>
      </c>
      <c r="V5" s="56" t="s">
        <v>25</v>
      </c>
      <c r="W5" s="56" t="s">
        <v>26</v>
      </c>
      <c r="X5" s="56" t="s">
        <v>25</v>
      </c>
      <c r="Y5" s="56" t="s">
        <v>26</v>
      </c>
      <c r="Z5" s="56" t="s">
        <v>25</v>
      </c>
      <c r="AA5" s="56" t="s">
        <v>26</v>
      </c>
      <c r="AB5" s="56" t="s">
        <v>25</v>
      </c>
      <c r="AC5" s="56" t="s">
        <v>26</v>
      </c>
      <c r="AD5" s="56" t="s">
        <v>25</v>
      </c>
      <c r="AE5" s="56" t="s">
        <v>26</v>
      </c>
      <c r="AF5" s="56" t="s">
        <v>25</v>
      </c>
      <c r="AG5" s="56" t="s">
        <v>26</v>
      </c>
      <c r="AH5" s="56" t="s">
        <v>25</v>
      </c>
      <c r="AI5" s="56" t="s">
        <v>26</v>
      </c>
      <c r="AJ5" s="56" t="s">
        <v>25</v>
      </c>
      <c r="AK5" s="56" t="s">
        <v>26</v>
      </c>
    </row>
    <row r="6" spans="1:44" ht="13.4" customHeight="1" x14ac:dyDescent="0.35">
      <c r="A6" s="39" t="s">
        <v>2</v>
      </c>
      <c r="B6" s="36">
        <f>'Calibration Data'!$R57</f>
        <v>3.6062400108052138E-2</v>
      </c>
      <c r="C6" s="36">
        <f>'Calibration Data'!$R49</f>
        <v>3.4171487742835918E-2</v>
      </c>
      <c r="D6" s="83">
        <f>'user page 2'!C7</f>
        <v>0.73421897311853945</v>
      </c>
      <c r="E6" s="83">
        <f>'user page 2'!D7</f>
        <v>0.36039890357545301</v>
      </c>
      <c r="F6" s="45">
        <f t="shared" ref="F6:G13" si="0">D6*B6</f>
        <v>2.6477698375523946E-2</v>
      </c>
      <c r="G6" s="45">
        <f t="shared" si="0"/>
        <v>1.2315366716060096E-2</v>
      </c>
      <c r="H6" s="45">
        <f t="shared" ref="H6:I13" si="1">F6/($F$14+$G$14)*$C$18/B6</f>
        <v>35.796362768298735</v>
      </c>
      <c r="I6" s="45">
        <f t="shared" si="1"/>
        <v>17.571011327708053</v>
      </c>
      <c r="J6" s="83">
        <f>'user page 2'!C16</f>
        <v>0.14985555251216795</v>
      </c>
      <c r="K6" s="83">
        <f>'user page 2'!D16</f>
        <v>0.33201617689395502</v>
      </c>
      <c r="L6" s="45">
        <f t="shared" ref="L6:M13" si="2">J6*B6</f>
        <v>5.404150893107018E-3</v>
      </c>
      <c r="M6" s="45">
        <f t="shared" si="2"/>
        <v>1.1345486719155026E-2</v>
      </c>
      <c r="N6" s="45">
        <f t="shared" ref="N6:O13" si="3">L6/($L$14+$M$14)*$C$19/B6</f>
        <v>0.27550501281390155</v>
      </c>
      <c r="O6" s="45">
        <f t="shared" si="3"/>
        <v>0.6104019473163288</v>
      </c>
      <c r="P6" s="211">
        <f t="shared" ref="P6:Q13" si="4">N6/(H6+N6)</f>
        <v>7.637669734367262E-3</v>
      </c>
      <c r="Q6" s="211">
        <f t="shared" si="4"/>
        <v>3.3572854765632085E-2</v>
      </c>
      <c r="R6" s="83">
        <v>1.0662510447145248</v>
      </c>
      <c r="S6" s="83">
        <v>0.87533447251901875</v>
      </c>
      <c r="T6" s="43">
        <f t="shared" ref="T6:U13" si="5">R6*B6</f>
        <v>3.8451571790123783E-2</v>
      </c>
      <c r="U6" s="43">
        <f t="shared" si="5"/>
        <v>2.9911481198565393E-2</v>
      </c>
      <c r="V6" s="403">
        <f t="shared" ref="V6:W13" si="6">T6/($T$14+$U$14)*($V$15*0.621371)/B6</f>
        <v>3.2164660693741336</v>
      </c>
      <c r="W6" s="403">
        <f t="shared" si="6"/>
        <v>2.6405447799253872</v>
      </c>
      <c r="X6" s="83">
        <v>0.84739474343725973</v>
      </c>
      <c r="Y6" s="83">
        <v>0.83745444694719129</v>
      </c>
      <c r="Z6" s="43">
        <f t="shared" ref="Z6:AA13" si="7">X6*B6</f>
        <v>3.0559088287294648E-2</v>
      </c>
      <c r="AA6" s="43">
        <f t="shared" si="7"/>
        <v>2.861706436903938E-2</v>
      </c>
      <c r="AB6" s="43">
        <f t="shared" ref="AB6:AC13" si="8">Z6/($Z$14+$AA$14)*($AB$15*0.621371)/B6</f>
        <v>10.269790765564466</v>
      </c>
      <c r="AC6" s="43">
        <f t="shared" si="8"/>
        <v>10.149321803618118</v>
      </c>
      <c r="AD6" s="95">
        <f>MAX(2.5,1.2216*V6+0.0838)</f>
        <v>4.0130349503474418</v>
      </c>
      <c r="AE6" s="95">
        <f>MAX(2.5,1.2216*W6+0.0838)</f>
        <v>3.3094895031568532</v>
      </c>
      <c r="AF6" s="56">
        <f>$AG$3</f>
        <v>6</v>
      </c>
      <c r="AG6" s="231">
        <f>$AG$3</f>
        <v>6</v>
      </c>
      <c r="AH6" s="43">
        <f t="shared" ref="AH6:AI13" si="9">R6*H6/60</f>
        <v>0.63613181997797741</v>
      </c>
      <c r="AI6" s="43">
        <f t="shared" si="9"/>
        <v>0.25634186553608385</v>
      </c>
      <c r="AJ6" s="43">
        <f t="shared" ref="AJ6:AK13" si="10">X6*N6/60</f>
        <v>3.8910249941519178E-3</v>
      </c>
      <c r="AK6" s="43">
        <f t="shared" si="10"/>
        <v>8.5197304200880786E-3</v>
      </c>
    </row>
    <row r="7" spans="1:44" ht="13.4" customHeight="1" x14ac:dyDescent="0.35">
      <c r="A7" s="39" t="s">
        <v>3</v>
      </c>
      <c r="B7" s="36">
        <f>'Calibration Data'!$R58</f>
        <v>6.8838214438466563E-2</v>
      </c>
      <c r="C7" s="36">
        <f>'Calibration Data'!$R50</f>
        <v>6.5529117799338177E-2</v>
      </c>
      <c r="D7" s="83">
        <f>'user page 2'!C8</f>
        <v>1.1056732402973335</v>
      </c>
      <c r="E7" s="83">
        <f>'user page 2'!D8</f>
        <v>1.0936509173598967</v>
      </c>
      <c r="F7" s="45">
        <f t="shared" si="0"/>
        <v>7.6112571614462013E-2</v>
      </c>
      <c r="G7" s="45">
        <f t="shared" si="0"/>
        <v>7.1665979795030935E-2</v>
      </c>
      <c r="H7" s="45">
        <f t="shared" si="1"/>
        <v>53.906371071799661</v>
      </c>
      <c r="I7" s="45">
        <f t="shared" si="1"/>
        <v>53.32023063012975</v>
      </c>
      <c r="J7" s="83">
        <f>'user page 2'!C17</f>
        <v>2.7635499052890284</v>
      </c>
      <c r="K7" s="83">
        <f>'user page 2'!D17</f>
        <v>1.702512523244367</v>
      </c>
      <c r="L7" s="45">
        <f t="shared" si="2"/>
        <v>0.19023784099169011</v>
      </c>
      <c r="M7" s="45">
        <f t="shared" si="2"/>
        <v>0.1115641436905286</v>
      </c>
      <c r="N7" s="45">
        <f t="shared" si="3"/>
        <v>5.0807049809294753</v>
      </c>
      <c r="O7" s="45">
        <f t="shared" si="3"/>
        <v>3.1300190528087457</v>
      </c>
      <c r="P7" s="211">
        <f t="shared" si="4"/>
        <v>8.6132511067132447E-2</v>
      </c>
      <c r="Q7" s="211">
        <f t="shared" si="4"/>
        <v>5.5447390762467456E-2</v>
      </c>
      <c r="R7" s="83">
        <v>1.0662510447145248</v>
      </c>
      <c r="S7" s="83">
        <v>0.87533447251901875</v>
      </c>
      <c r="T7" s="43">
        <f t="shared" si="5"/>
        <v>7.3398818061297458E-2</v>
      </c>
      <c r="U7" s="43">
        <f t="shared" si="5"/>
        <v>5.7359895763520324E-2</v>
      </c>
      <c r="V7" s="403">
        <f t="shared" si="6"/>
        <v>3.216466069374134</v>
      </c>
      <c r="W7" s="403">
        <f t="shared" si="6"/>
        <v>2.6405447799253867</v>
      </c>
      <c r="X7" s="83">
        <v>0.89201119875320134</v>
      </c>
      <c r="Y7" s="83">
        <v>0.98171847430893688</v>
      </c>
      <c r="Z7" s="43">
        <f t="shared" si="7"/>
        <v>6.1404458181286495E-2</v>
      </c>
      <c r="AA7" s="43">
        <f t="shared" si="7"/>
        <v>6.4331145548776877E-2</v>
      </c>
      <c r="AB7" s="43">
        <f t="shared" si="8"/>
        <v>10.810508848069071</v>
      </c>
      <c r="AC7" s="43">
        <f t="shared" si="8"/>
        <v>11.897693961313109</v>
      </c>
      <c r="AD7" s="95">
        <f t="shared" ref="AD7:AE13" si="11">MAX(2.5,1.2216*V7+0.0838)</f>
        <v>4.0130349503474418</v>
      </c>
      <c r="AE7" s="95">
        <f t="shared" si="11"/>
        <v>3.3094895031568528</v>
      </c>
      <c r="AF7" s="231">
        <f t="shared" ref="AF7:AG13" si="12">$AG$3</f>
        <v>6</v>
      </c>
      <c r="AG7" s="231">
        <f t="shared" si="12"/>
        <v>6</v>
      </c>
      <c r="AH7" s="43">
        <f t="shared" si="9"/>
        <v>0.95796207453458715</v>
      </c>
      <c r="AI7" s="43">
        <f t="shared" si="9"/>
        <v>0.77788393255361754</v>
      </c>
      <c r="AJ7" s="43">
        <f t="shared" si="10"/>
        <v>7.5534095675837701E-2</v>
      </c>
      <c r="AK7" s="43">
        <f t="shared" si="10"/>
        <v>5.1213292151355089E-2</v>
      </c>
    </row>
    <row r="8" spans="1:44" ht="13.4" customHeight="1" x14ac:dyDescent="0.35">
      <c r="A8" s="39" t="s">
        <v>4</v>
      </c>
      <c r="B8" s="36">
        <f>'Calibration Data'!$R59</f>
        <v>0.10235688719807307</v>
      </c>
      <c r="C8" s="36">
        <f>'Calibration Data'!$R51</f>
        <v>0.10134389843099295</v>
      </c>
      <c r="D8" s="83">
        <f>'user page 2'!C9</f>
        <v>0.91417563862305196</v>
      </c>
      <c r="E8" s="83">
        <f>'user page 2'!D9</f>
        <v>1</v>
      </c>
      <c r="F8" s="45">
        <f t="shared" si="0"/>
        <v>9.3572172721766142E-2</v>
      </c>
      <c r="G8" s="45">
        <f t="shared" si="0"/>
        <v>0.10134389843099295</v>
      </c>
      <c r="H8" s="45">
        <f t="shared" si="1"/>
        <v>44.570031546717644</v>
      </c>
      <c r="I8" s="45">
        <f t="shared" si="1"/>
        <v>48.754341795685825</v>
      </c>
      <c r="J8" s="83">
        <f>'user page 2'!C18</f>
        <v>2.3910524323580478</v>
      </c>
      <c r="K8" s="83">
        <f>'user page 2'!D18</f>
        <v>1</v>
      </c>
      <c r="L8" s="45">
        <f t="shared" si="2"/>
        <v>0.24474068410355093</v>
      </c>
      <c r="M8" s="45">
        <f t="shared" si="2"/>
        <v>0.10134389843099295</v>
      </c>
      <c r="N8" s="45">
        <f t="shared" si="3"/>
        <v>4.3958793649773211</v>
      </c>
      <c r="O8" s="45">
        <f t="shared" si="3"/>
        <v>1.8384705017288643</v>
      </c>
      <c r="P8" s="211">
        <f t="shared" si="4"/>
        <v>8.9774279353341188E-2</v>
      </c>
      <c r="Q8" s="211">
        <f t="shared" si="4"/>
        <v>3.6338570999398877E-2</v>
      </c>
      <c r="R8" s="83">
        <v>1.0206231846929574</v>
      </c>
      <c r="S8" s="83">
        <v>1.0002107209990982</v>
      </c>
      <c r="T8" s="43">
        <f t="shared" si="5"/>
        <v>0.10446781218735514</v>
      </c>
      <c r="U8" s="43">
        <f t="shared" si="5"/>
        <v>0.10136525371852284</v>
      </c>
      <c r="V8" s="403">
        <f t="shared" si="6"/>
        <v>3.078824503342358</v>
      </c>
      <c r="W8" s="403">
        <f t="shared" si="6"/>
        <v>3.0172480132755108</v>
      </c>
      <c r="X8" s="83">
        <v>1.0720996859255612</v>
      </c>
      <c r="Y8" s="83">
        <v>0.95696550895019128</v>
      </c>
      <c r="Z8" s="43">
        <f t="shared" si="7"/>
        <v>0.10973678661737223</v>
      </c>
      <c r="AA8" s="43">
        <f t="shared" si="7"/>
        <v>9.6982615341011658E-2</v>
      </c>
      <c r="AB8" s="43">
        <f t="shared" si="8"/>
        <v>12.993046675770511</v>
      </c>
      <c r="AC8" s="43">
        <f t="shared" si="8"/>
        <v>11.597706526849628</v>
      </c>
      <c r="AD8" s="95">
        <f t="shared" si="11"/>
        <v>3.8448920132830247</v>
      </c>
      <c r="AE8" s="95">
        <f t="shared" si="11"/>
        <v>3.7696701730173641</v>
      </c>
      <c r="AF8" s="231">
        <f t="shared" si="12"/>
        <v>6</v>
      </c>
      <c r="AG8" s="231">
        <f t="shared" si="12"/>
        <v>6</v>
      </c>
      <c r="AH8" s="43">
        <f t="shared" si="9"/>
        <v>0.75815345898460895</v>
      </c>
      <c r="AI8" s="43">
        <f t="shared" si="9"/>
        <v>0.81274358932165647</v>
      </c>
      <c r="AJ8" s="43">
        <f t="shared" si="10"/>
        <v>7.8547014775980681E-2</v>
      </c>
      <c r="AK8" s="43">
        <f t="shared" si="10"/>
        <v>2.932254765628127E-2</v>
      </c>
    </row>
    <row r="9" spans="1:44" ht="13.4" customHeight="1" x14ac:dyDescent="0.35">
      <c r="A9" s="39" t="s">
        <v>5</v>
      </c>
      <c r="B9" s="36">
        <f>'Calibration Data'!$R60</f>
        <v>9.2564662449631949E-2</v>
      </c>
      <c r="C9" s="36">
        <f>'Calibration Data'!$R52</f>
        <v>0.10195169169124102</v>
      </c>
      <c r="D9" s="83">
        <f>'user page 2'!C10</f>
        <v>0.4966244044375544</v>
      </c>
      <c r="E9" s="83">
        <f>'user page 2'!D10</f>
        <v>0.78316334599237769</v>
      </c>
      <c r="F9" s="45">
        <f t="shared" si="0"/>
        <v>4.5969870361011723E-2</v>
      </c>
      <c r="G9" s="45">
        <f t="shared" si="0"/>
        <v>7.9844827994495604E-2</v>
      </c>
      <c r="H9" s="45">
        <f t="shared" si="1"/>
        <v>24.212595958027439</v>
      </c>
      <c r="I9" s="45">
        <f t="shared" si="1"/>
        <v>38.182613452365338</v>
      </c>
      <c r="J9" s="83">
        <f>'user page 2'!C19</f>
        <v>2.7072018230616095</v>
      </c>
      <c r="K9" s="83">
        <f>'user page 2'!D19</f>
        <v>1.1912355983677274</v>
      </c>
      <c r="L9" s="45">
        <f t="shared" si="2"/>
        <v>0.25059122293472613</v>
      </c>
      <c r="M9" s="45">
        <f t="shared" si="2"/>
        <v>0.12144848445641757</v>
      </c>
      <c r="N9" s="45">
        <f t="shared" si="3"/>
        <v>4.9771106939253738</v>
      </c>
      <c r="O9" s="45">
        <f t="shared" si="3"/>
        <v>2.1900515082083998</v>
      </c>
      <c r="P9" s="211">
        <f t="shared" si="4"/>
        <v>0.17050910285843526</v>
      </c>
      <c r="Q9" s="211">
        <f t="shared" si="4"/>
        <v>5.4245899059353966E-2</v>
      </c>
      <c r="R9" s="83">
        <v>1.0590466457637511</v>
      </c>
      <c r="S9" s="83">
        <v>1.0338312494360427</v>
      </c>
      <c r="T9" s="43">
        <f t="shared" si="5"/>
        <v>9.8030295283536559E-2</v>
      </c>
      <c r="U9" s="43">
        <f t="shared" si="5"/>
        <v>0.10540084480327391</v>
      </c>
      <c r="V9" s="403">
        <f t="shared" si="6"/>
        <v>3.1947331905270113</v>
      </c>
      <c r="W9" s="403">
        <f t="shared" si="6"/>
        <v>3.118668114562082</v>
      </c>
      <c r="X9" s="83">
        <v>1.0734872746194433</v>
      </c>
      <c r="Y9" s="83">
        <v>0.98047195259287001</v>
      </c>
      <c r="Z9" s="43">
        <f t="shared" si="7"/>
        <v>9.9366987219124125E-2</v>
      </c>
      <c r="AA9" s="43">
        <f t="shared" si="7"/>
        <v>9.9960774222657367E-2</v>
      </c>
      <c r="AB9" s="43">
        <f t="shared" si="8"/>
        <v>13.009863213358448</v>
      </c>
      <c r="AC9" s="43">
        <f t="shared" si="8"/>
        <v>11.882587050032527</v>
      </c>
      <c r="AD9" s="95">
        <f t="shared" si="11"/>
        <v>3.9864860655477972</v>
      </c>
      <c r="AE9" s="95">
        <f t="shared" si="11"/>
        <v>3.8935649687490397</v>
      </c>
      <c r="AF9" s="231">
        <f t="shared" si="12"/>
        <v>6</v>
      </c>
      <c r="AG9" s="231">
        <f t="shared" si="12"/>
        <v>6</v>
      </c>
      <c r="AH9" s="43">
        <f t="shared" si="9"/>
        <v>0.42737114224303191</v>
      </c>
      <c r="AI9" s="43">
        <f t="shared" si="9"/>
        <v>0.65790631620320505</v>
      </c>
      <c r="AJ9" s="43">
        <f t="shared" si="10"/>
        <v>8.9047749905020596E-2</v>
      </c>
      <c r="AK9" s="43">
        <f t="shared" si="10"/>
        <v>3.578806797553416E-2</v>
      </c>
    </row>
    <row r="10" spans="1:44" ht="13.4" customHeight="1" x14ac:dyDescent="0.35">
      <c r="A10" s="39" t="s">
        <v>6</v>
      </c>
      <c r="B10" s="36">
        <f>'Calibration Data'!$R61</f>
        <v>9.7697138869504541E-2</v>
      </c>
      <c r="C10" s="36">
        <f>'Calibration Data'!$R53</f>
        <v>0.10433784300925196</v>
      </c>
      <c r="D10" s="83">
        <f>'user page 2'!C11</f>
        <v>0.72703050067204245</v>
      </c>
      <c r="E10" s="83">
        <f>'user page 2'!D11</f>
        <v>1.1154648696829688</v>
      </c>
      <c r="F10" s="45">
        <f t="shared" si="0"/>
        <v>7.1028799786521948E-2</v>
      </c>
      <c r="G10" s="45">
        <f t="shared" si="0"/>
        <v>0.11638519845531729</v>
      </c>
      <c r="H10" s="45">
        <f t="shared" si="1"/>
        <v>35.445893525653354</v>
      </c>
      <c r="I10" s="45">
        <f t="shared" si="1"/>
        <v>54.38375551760361</v>
      </c>
      <c r="J10" s="83">
        <f>'user page 2'!C20</f>
        <v>7.758948858258476</v>
      </c>
      <c r="K10" s="83">
        <f>'user page 2'!D20</f>
        <v>3.4608264344733777</v>
      </c>
      <c r="L10" s="45">
        <f t="shared" si="2"/>
        <v>0.75802710408666207</v>
      </c>
      <c r="M10" s="45">
        <f t="shared" si="2"/>
        <v>0.36109516520235252</v>
      </c>
      <c r="N10" s="45">
        <f t="shared" si="3"/>
        <v>14.264598600331059</v>
      </c>
      <c r="O10" s="45">
        <f t="shared" si="3"/>
        <v>6.3626273113827878</v>
      </c>
      <c r="P10" s="211">
        <f t="shared" si="4"/>
        <v>0.28695347783279618</v>
      </c>
      <c r="Q10" s="211">
        <f t="shared" si="4"/>
        <v>0.10474084241846789</v>
      </c>
      <c r="R10" s="83">
        <v>1.039234548649123</v>
      </c>
      <c r="S10" s="83">
        <v>0.94737846202675691</v>
      </c>
      <c r="T10" s="43">
        <f t="shared" si="5"/>
        <v>0.10153024201736024</v>
      </c>
      <c r="U10" s="43">
        <f t="shared" si="5"/>
        <v>9.8847425241294334E-2</v>
      </c>
      <c r="V10" s="403">
        <f t="shared" si="6"/>
        <v>3.1349677736974244</v>
      </c>
      <c r="W10" s="403">
        <f t="shared" si="6"/>
        <v>2.8578735683966121</v>
      </c>
      <c r="X10" s="83">
        <v>1.156495199006248</v>
      </c>
      <c r="Y10" s="83">
        <v>0.96279225292112047</v>
      </c>
      <c r="Z10" s="43">
        <f t="shared" si="7"/>
        <v>0.1129862720592287</v>
      </c>
      <c r="AA10" s="43">
        <f t="shared" si="7"/>
        <v>0.10045566693580787</v>
      </c>
      <c r="AB10" s="43">
        <f t="shared" si="8"/>
        <v>14.015857198969471</v>
      </c>
      <c r="AC10" s="43">
        <f t="shared" si="8"/>
        <v>11.668322307616963</v>
      </c>
      <c r="AD10" s="95">
        <f t="shared" si="11"/>
        <v>3.913476632348774</v>
      </c>
      <c r="AE10" s="95">
        <f t="shared" si="11"/>
        <v>3.5749783511533013</v>
      </c>
      <c r="AF10" s="231">
        <f t="shared" si="12"/>
        <v>6</v>
      </c>
      <c r="AG10" s="231">
        <f t="shared" si="12"/>
        <v>6</v>
      </c>
      <c r="AH10" s="43">
        <f t="shared" si="9"/>
        <v>0.61394328599328718</v>
      </c>
      <c r="AI10" s="43">
        <f t="shared" si="9"/>
        <v>0.85869997769177442</v>
      </c>
      <c r="AJ10" s="43">
        <f t="shared" si="10"/>
        <v>0.27494899661723521</v>
      </c>
      <c r="AK10" s="43">
        <f t="shared" si="10"/>
        <v>0.10209813806039476</v>
      </c>
    </row>
    <row r="11" spans="1:44" ht="13.4" customHeight="1" x14ac:dyDescent="0.35">
      <c r="A11" s="39" t="s">
        <v>7</v>
      </c>
      <c r="B11" s="36">
        <f>'Calibration Data'!$R62</f>
        <v>4.9186232357112308E-2</v>
      </c>
      <c r="C11" s="36">
        <f>'Calibration Data'!$R54</f>
        <v>5.1392296783197892E-2</v>
      </c>
      <c r="D11" s="83">
        <f>'user page 2'!C12</f>
        <v>1.0864541997907604</v>
      </c>
      <c r="E11" s="83">
        <f>'user page 2'!D12</f>
        <v>1.0201532886325915</v>
      </c>
      <c r="F11" s="45">
        <f t="shared" si="0"/>
        <v>5.3438588716268859E-2</v>
      </c>
      <c r="G11" s="45">
        <f t="shared" si="0"/>
        <v>5.2428020573761482E-2</v>
      </c>
      <c r="H11" s="45">
        <f t="shared" si="1"/>
        <v>52.969359401957064</v>
      </c>
      <c r="I11" s="45">
        <f t="shared" si="1"/>
        <v>49.73690211798629</v>
      </c>
      <c r="J11" s="83">
        <f>'user page 2'!C21</f>
        <v>0.68007307207670809</v>
      </c>
      <c r="K11" s="83">
        <f>'user page 2'!D21</f>
        <v>0.34642735219066312</v>
      </c>
      <c r="L11" s="45">
        <f t="shared" si="2"/>
        <v>3.3450232142980152E-2</v>
      </c>
      <c r="M11" s="45">
        <f t="shared" si="2"/>
        <v>1.780369729759998E-2</v>
      </c>
      <c r="N11" s="45">
        <f t="shared" si="3"/>
        <v>1.2502942820331555</v>
      </c>
      <c r="O11" s="45">
        <f t="shared" si="3"/>
        <v>0.63689646799457034</v>
      </c>
      <c r="P11" s="211">
        <f t="shared" si="4"/>
        <v>2.3059798377176612E-2</v>
      </c>
      <c r="Q11" s="211">
        <f t="shared" si="4"/>
        <v>1.2643407602217636E-2</v>
      </c>
      <c r="R11" s="83">
        <v>1.0302290499606557</v>
      </c>
      <c r="S11" s="83">
        <v>0.93296966412520921</v>
      </c>
      <c r="T11" s="43">
        <f t="shared" si="5"/>
        <v>5.0673085432411877E-2</v>
      </c>
      <c r="U11" s="43">
        <f t="shared" si="5"/>
        <v>4.7947453868443207E-2</v>
      </c>
      <c r="V11" s="403">
        <f t="shared" si="6"/>
        <v>3.1078016751385213</v>
      </c>
      <c r="W11" s="403">
        <f t="shared" si="6"/>
        <v>2.8144078107023667</v>
      </c>
      <c r="X11" s="83">
        <v>1.0630716656428001</v>
      </c>
      <c r="Y11" s="83">
        <v>0.92915629547235501</v>
      </c>
      <c r="Z11" s="43">
        <f t="shared" si="7"/>
        <v>5.2288489958569169E-2</v>
      </c>
      <c r="AA11" s="43">
        <f t="shared" si="7"/>
        <v>4.7751476094891984E-2</v>
      </c>
      <c r="AB11" s="43">
        <f t="shared" si="8"/>
        <v>12.883633819425489</v>
      </c>
      <c r="AC11" s="43">
        <f t="shared" si="8"/>
        <v>11.260679650079256</v>
      </c>
      <c r="AD11" s="95">
        <f t="shared" si="11"/>
        <v>3.880290526349218</v>
      </c>
      <c r="AE11" s="95">
        <f t="shared" si="11"/>
        <v>3.5218805815540111</v>
      </c>
      <c r="AF11" s="231">
        <f t="shared" si="12"/>
        <v>6</v>
      </c>
      <c r="AG11" s="231">
        <f t="shared" si="12"/>
        <v>6</v>
      </c>
      <c r="AH11" s="43">
        <f t="shared" si="9"/>
        <v>0.90950954689504593</v>
      </c>
      <c r="AI11" s="43">
        <f t="shared" si="9"/>
        <v>0.77338368106076794</v>
      </c>
      <c r="AJ11" s="43">
        <f t="shared" si="10"/>
        <v>2.215254041574426E-2</v>
      </c>
      <c r="AK11" s="43">
        <f t="shared" si="10"/>
        <v>9.8629393800210383E-3</v>
      </c>
    </row>
    <row r="12" spans="1:44" ht="13.4" customHeight="1" x14ac:dyDescent="0.35">
      <c r="A12" s="39" t="s">
        <v>8</v>
      </c>
      <c r="B12" s="36">
        <f>'Calibration Data'!$R63</f>
        <v>2.813857686333656E-2</v>
      </c>
      <c r="C12" s="36">
        <f>'Calibration Data'!$R55</f>
        <v>3.1132521441595569E-2</v>
      </c>
      <c r="D12" s="83">
        <f>'user page 2'!C13</f>
        <v>1.3799894883774591</v>
      </c>
      <c r="E12" s="83">
        <f>'user page 2'!D13</f>
        <v>0.8831145060311737</v>
      </c>
      <c r="F12" s="45">
        <f t="shared" si="0"/>
        <v>3.8830940289305629E-2</v>
      </c>
      <c r="G12" s="45">
        <f t="shared" si="0"/>
        <v>2.7493581294399595E-2</v>
      </c>
      <c r="H12" s="45">
        <f t="shared" si="1"/>
        <v>67.280479190808251</v>
      </c>
      <c r="I12" s="45">
        <f t="shared" si="1"/>
        <v>43.055666471772092</v>
      </c>
      <c r="J12" s="83">
        <f>'user page 2'!C22</f>
        <v>1.5629289651911593</v>
      </c>
      <c r="K12" s="83">
        <f>'user page 2'!D22</f>
        <v>0.8432932765935035</v>
      </c>
      <c r="L12" s="45">
        <f t="shared" si="2"/>
        <v>4.3978596818966507E-2</v>
      </c>
      <c r="M12" s="45">
        <f t="shared" si="2"/>
        <v>2.625384601510063E-2</v>
      </c>
      <c r="N12" s="45">
        <f t="shared" si="3"/>
        <v>2.8733987988015652</v>
      </c>
      <c r="O12" s="45">
        <f t="shared" si="3"/>
        <v>1.5503698133234363</v>
      </c>
      <c r="P12" s="211">
        <f t="shared" si="4"/>
        <v>4.0958516922288059E-2</v>
      </c>
      <c r="Q12" s="211">
        <f t="shared" si="4"/>
        <v>3.475695090714595E-2</v>
      </c>
      <c r="R12" s="83">
        <v>0.95098066150214378</v>
      </c>
      <c r="S12" s="83">
        <v>0.89694766937134018</v>
      </c>
      <c r="T12" s="43">
        <f t="shared" si="5"/>
        <v>2.6759242439224722E-2</v>
      </c>
      <c r="U12" s="43">
        <f t="shared" si="5"/>
        <v>2.792424254869242E-2</v>
      </c>
      <c r="V12" s="403">
        <f t="shared" si="6"/>
        <v>2.8687400078201732</v>
      </c>
      <c r="W12" s="403">
        <f t="shared" si="6"/>
        <v>2.7057434164667544</v>
      </c>
      <c r="X12" s="83">
        <v>1.0293386595342919</v>
      </c>
      <c r="Y12" s="83">
        <v>0.84850875826748196</v>
      </c>
      <c r="Z12" s="43">
        <f t="shared" si="7"/>
        <v>2.8964124989709496E-2</v>
      </c>
      <c r="AA12" s="43">
        <f t="shared" si="7"/>
        <v>2.6416217110144014E-2</v>
      </c>
      <c r="AB12" s="43">
        <f t="shared" si="8"/>
        <v>12.474815004686716</v>
      </c>
      <c r="AC12" s="43">
        <f t="shared" si="8"/>
        <v>10.283291792452728</v>
      </c>
      <c r="AD12" s="95">
        <f t="shared" si="11"/>
        <v>3.5882527935531239</v>
      </c>
      <c r="AE12" s="95">
        <f t="shared" si="11"/>
        <v>3.3891361575557872</v>
      </c>
      <c r="AF12" s="231">
        <f t="shared" si="12"/>
        <v>6</v>
      </c>
      <c r="AG12" s="231">
        <f t="shared" si="12"/>
        <v>6</v>
      </c>
      <c r="AH12" s="43">
        <f t="shared" si="9"/>
        <v>1.0663739101176009</v>
      </c>
      <c r="AI12" s="43">
        <f t="shared" si="9"/>
        <v>0.64364466158476219</v>
      </c>
      <c r="AJ12" s="43">
        <f t="shared" si="10"/>
        <v>4.9295007797764127E-2</v>
      </c>
      <c r="AK12" s="43">
        <f t="shared" si="10"/>
        <v>2.1925039419307613E-2</v>
      </c>
    </row>
    <row r="13" spans="1:44" ht="13.4" customHeight="1" x14ac:dyDescent="0.35">
      <c r="A13" s="40" t="s">
        <v>9</v>
      </c>
      <c r="B13" s="36">
        <f>'Calibration Data'!$R64</f>
        <v>1.4159331877630956E-2</v>
      </c>
      <c r="C13" s="36">
        <f>'Calibration Data'!$R56</f>
        <v>2.1137698939738422E-2</v>
      </c>
      <c r="D13" s="83">
        <f>'user page 2'!C14</f>
        <v>0.71851957906701924</v>
      </c>
      <c r="E13" s="83">
        <f>'user page 2'!D14</f>
        <v>0.54759068323896976</v>
      </c>
      <c r="F13" s="45">
        <f t="shared" si="0"/>
        <v>1.0173757180585621E-2</v>
      </c>
      <c r="G13" s="45">
        <f t="shared" si="0"/>
        <v>1.1574807004511009E-2</v>
      </c>
      <c r="H13" s="45">
        <f t="shared" si="1"/>
        <v>35.03094914472576</v>
      </c>
      <c r="I13" s="45">
        <f t="shared" si="1"/>
        <v>26.697423334765855</v>
      </c>
      <c r="J13" s="83">
        <f>'user page 2'!C23</f>
        <v>0.1</v>
      </c>
      <c r="K13" s="83">
        <f>'user page 2'!D23</f>
        <v>0.1</v>
      </c>
      <c r="L13" s="45">
        <f t="shared" si="2"/>
        <v>1.4159331877630957E-3</v>
      </c>
      <c r="M13" s="45">
        <f t="shared" si="2"/>
        <v>2.1137698939738422E-3</v>
      </c>
      <c r="N13" s="45">
        <f t="shared" si="3"/>
        <v>0.18384705017288641</v>
      </c>
      <c r="O13" s="45">
        <f t="shared" si="3"/>
        <v>0.18384705017288641</v>
      </c>
      <c r="P13" s="211">
        <f t="shared" si="4"/>
        <v>5.2207330451487666E-3</v>
      </c>
      <c r="Q13" s="211">
        <f t="shared" si="4"/>
        <v>6.839224766545771E-3</v>
      </c>
      <c r="R13" s="83">
        <v>0.95098066150214378</v>
      </c>
      <c r="S13" s="83">
        <v>0.89694766937134018</v>
      </c>
      <c r="T13" s="43">
        <f t="shared" si="5"/>
        <v>1.3465250795417879E-2</v>
      </c>
      <c r="U13" s="43">
        <f t="shared" si="5"/>
        <v>1.8959409799871426E-2</v>
      </c>
      <c r="V13" s="403">
        <f t="shared" si="6"/>
        <v>2.8687400078201732</v>
      </c>
      <c r="W13" s="403">
        <f t="shared" si="6"/>
        <v>2.7057434164667544</v>
      </c>
      <c r="X13" s="83">
        <v>0.90228329150939157</v>
      </c>
      <c r="Y13" s="83">
        <v>0.83081180869133686</v>
      </c>
      <c r="Z13" s="43">
        <f t="shared" si="7"/>
        <v>1.2775728572122712E-2</v>
      </c>
      <c r="AA13" s="43">
        <f t="shared" si="7"/>
        <v>1.7561449887697034E-2</v>
      </c>
      <c r="AB13" s="43">
        <f t="shared" si="8"/>
        <v>10.934998932704998</v>
      </c>
      <c r="AC13" s="43">
        <f t="shared" si="8"/>
        <v>10.068817994092178</v>
      </c>
      <c r="AD13" s="95">
        <f t="shared" si="11"/>
        <v>3.5882527935531239</v>
      </c>
      <c r="AE13" s="95">
        <f t="shared" si="11"/>
        <v>3.3891361575557872</v>
      </c>
      <c r="AF13" s="231">
        <f t="shared" si="12"/>
        <v>6</v>
      </c>
      <c r="AG13" s="231">
        <f t="shared" si="12"/>
        <v>6</v>
      </c>
      <c r="AH13" s="43">
        <f t="shared" si="9"/>
        <v>0.55522925317832106</v>
      </c>
      <c r="AI13" s="43">
        <f t="shared" si="9"/>
        <v>0.39910319397230443</v>
      </c>
      <c r="AJ13" s="43">
        <f t="shared" si="10"/>
        <v>2.7647020260714032E-3</v>
      </c>
      <c r="AK13" s="43">
        <f t="shared" si="10"/>
        <v>2.5457050046117117E-3</v>
      </c>
    </row>
    <row r="14" spans="1:44" ht="13.4" customHeight="1" x14ac:dyDescent="0.35">
      <c r="B14" s="37">
        <f t="shared" ref="B14:O14" si="13">SUM(B6:B13)</f>
        <v>0.48900344416180808</v>
      </c>
      <c r="C14" s="37">
        <f t="shared" si="13"/>
        <v>0.51099655583819192</v>
      </c>
      <c r="D14" s="48">
        <f t="shared" si="13"/>
        <v>7.1626860243837598</v>
      </c>
      <c r="E14" s="48">
        <f t="shared" si="13"/>
        <v>6.8035365145134303</v>
      </c>
      <c r="F14" s="48">
        <f t="shared" si="13"/>
        <v>0.41560439904544588</v>
      </c>
      <c r="G14" s="48">
        <f t="shared" si="13"/>
        <v>0.47305168026456901</v>
      </c>
      <c r="H14" s="48"/>
      <c r="I14" s="48"/>
      <c r="J14" s="48">
        <f t="shared" si="13"/>
        <v>18.113610608747198</v>
      </c>
      <c r="K14" s="48">
        <f t="shared" si="13"/>
        <v>8.9763113617635923</v>
      </c>
      <c r="L14" s="48">
        <f t="shared" si="13"/>
        <v>1.5278457651594461</v>
      </c>
      <c r="M14" s="48">
        <f t="shared" si="13"/>
        <v>0.75296849170612112</v>
      </c>
      <c r="N14" s="48">
        <f t="shared" si="13"/>
        <v>33.30133878398474</v>
      </c>
      <c r="O14" s="48">
        <f t="shared" si="13"/>
        <v>16.502683652936017</v>
      </c>
      <c r="P14" s="48"/>
      <c r="Q14" s="48"/>
      <c r="R14" s="48"/>
      <c r="S14" s="48"/>
      <c r="T14" s="48">
        <f>SUM(T6:T13)</f>
        <v>0.50677631800672773</v>
      </c>
      <c r="U14" s="48">
        <f>SUM(U6:U13)</f>
        <v>0.48771600694218387</v>
      </c>
      <c r="W14" s="48"/>
      <c r="X14" s="48"/>
      <c r="Y14" s="48"/>
      <c r="Z14" s="48">
        <f>SUM(Z6:Z13)</f>
        <v>0.50808193588470751</v>
      </c>
      <c r="AA14" s="45">
        <f>SUM(AA6:AA13)</f>
        <v>0.48207640951002623</v>
      </c>
      <c r="AC14" s="45"/>
      <c r="AD14" s="45"/>
      <c r="AE14" s="45"/>
      <c r="AF14" s="45"/>
      <c r="AG14" s="45"/>
      <c r="AH14" s="45"/>
      <c r="AI14" s="45"/>
      <c r="AJ14" s="45"/>
      <c r="AK14" s="45"/>
    </row>
    <row r="15" spans="1:44" ht="13.4" customHeight="1" thickBot="1" x14ac:dyDescent="0.4">
      <c r="B15" s="36"/>
      <c r="C15" s="36"/>
      <c r="D15" s="77"/>
      <c r="E15" s="77"/>
      <c r="F15" s="329"/>
      <c r="G15" s="77"/>
      <c r="H15" s="77"/>
      <c r="I15" s="77"/>
      <c r="J15" s="77"/>
      <c r="K15" s="77"/>
      <c r="L15" s="77"/>
      <c r="M15" s="77"/>
      <c r="N15" s="77"/>
      <c r="O15" s="77"/>
      <c r="P15" s="77"/>
      <c r="Q15" s="77"/>
      <c r="R15" s="77"/>
      <c r="S15" s="1016" t="s">
        <v>402</v>
      </c>
      <c r="T15" s="1016"/>
      <c r="U15" s="1017"/>
      <c r="V15" s="259">
        <f>'user page'!C16</f>
        <v>4.82803</v>
      </c>
      <c r="W15" s="77"/>
      <c r="X15" s="77"/>
      <c r="Y15" s="1016" t="s">
        <v>402</v>
      </c>
      <c r="Z15" s="1016"/>
      <c r="AA15" s="1017"/>
      <c r="AB15" s="259">
        <f>'user page'!C17</f>
        <v>19.312100000000001</v>
      </c>
      <c r="AC15" s="77"/>
      <c r="AD15" s="77"/>
      <c r="AE15" s="77"/>
      <c r="AF15" s="77"/>
      <c r="AG15" s="77"/>
      <c r="AH15" s="77"/>
      <c r="AI15" s="77"/>
      <c r="AJ15" s="77"/>
      <c r="AK15" s="77"/>
    </row>
    <row r="16" spans="1:44" ht="13.4" customHeight="1" x14ac:dyDescent="0.35">
      <c r="A16" s="1011" t="s">
        <v>21</v>
      </c>
      <c r="B16" s="1012"/>
      <c r="C16" s="51">
        <f>EXP(NORMINV(N17,LN(C17),LN((C17*C20))))</f>
        <v>12705.40971483799</v>
      </c>
      <c r="D16" s="66"/>
      <c r="E16" s="140"/>
      <c r="F16" s="350"/>
      <c r="G16" s="140"/>
      <c r="H16" s="141"/>
      <c r="I16" s="141"/>
      <c r="J16" s="1015" t="s">
        <v>113</v>
      </c>
      <c r="K16" s="1013"/>
      <c r="L16" s="1013"/>
      <c r="M16" s="1013"/>
      <c r="N16" s="1014"/>
      <c r="O16" s="1015" t="s">
        <v>20</v>
      </c>
      <c r="P16" s="1013"/>
      <c r="Q16" s="1013"/>
      <c r="R16" s="1013"/>
      <c r="S16" s="1014"/>
      <c r="T16" s="1015" t="s">
        <v>109</v>
      </c>
      <c r="U16" s="1013"/>
      <c r="V16" s="1013"/>
      <c r="W16" s="1013"/>
      <c r="X16" s="1014"/>
      <c r="Y16" s="1015" t="s">
        <v>110</v>
      </c>
      <c r="Z16" s="1013"/>
      <c r="AA16" s="1013"/>
      <c r="AB16" s="1013"/>
      <c r="AC16" s="1013"/>
      <c r="AD16" s="1015" t="s">
        <v>108</v>
      </c>
      <c r="AE16" s="1013"/>
      <c r="AF16" s="1013"/>
      <c r="AG16" s="1013"/>
      <c r="AH16" s="1014"/>
      <c r="AI16" s="1015" t="s">
        <v>111</v>
      </c>
      <c r="AJ16" s="1013"/>
      <c r="AK16" s="1013"/>
      <c r="AL16" s="1013"/>
      <c r="AM16" s="1014"/>
      <c r="AN16" s="1013" t="s">
        <v>112</v>
      </c>
      <c r="AO16" s="1013"/>
      <c r="AP16" s="1013"/>
      <c r="AQ16" s="1013"/>
      <c r="AR16" s="1014"/>
    </row>
    <row r="17" spans="1:44" ht="13.4" customHeight="1" thickBot="1" x14ac:dyDescent="0.4">
      <c r="A17" s="1011" t="s">
        <v>22</v>
      </c>
      <c r="B17" s="1012"/>
      <c r="C17" s="86">
        <f>C18+C19</f>
        <v>47.519051960664541</v>
      </c>
      <c r="D17" s="67" t="s">
        <v>116</v>
      </c>
      <c r="E17" s="68" t="s">
        <v>66</v>
      </c>
      <c r="F17" s="351" t="s">
        <v>15</v>
      </c>
      <c r="G17" s="69" t="s">
        <v>0</v>
      </c>
      <c r="H17" s="69" t="s">
        <v>85</v>
      </c>
      <c r="I17" s="69" t="s">
        <v>86</v>
      </c>
      <c r="J17" s="199">
        <v>0.1</v>
      </c>
      <c r="K17" s="70">
        <v>0.3</v>
      </c>
      <c r="L17" s="70">
        <v>0.5</v>
      </c>
      <c r="M17" s="70">
        <v>0.7</v>
      </c>
      <c r="N17" s="200">
        <v>0.9</v>
      </c>
      <c r="O17" s="199">
        <v>0.1</v>
      </c>
      <c r="P17" s="70">
        <v>0.3</v>
      </c>
      <c r="Q17" s="70">
        <v>0.5</v>
      </c>
      <c r="R17" s="70">
        <v>0.7</v>
      </c>
      <c r="S17" s="200">
        <v>0.9</v>
      </c>
      <c r="T17" s="199">
        <v>0.1</v>
      </c>
      <c r="U17" s="70">
        <v>0.3</v>
      </c>
      <c r="V17" s="70">
        <v>0.5</v>
      </c>
      <c r="W17" s="70">
        <v>0.7</v>
      </c>
      <c r="X17" s="200">
        <v>0.9</v>
      </c>
      <c r="Y17" s="199">
        <v>0.1</v>
      </c>
      <c r="Z17" s="70">
        <v>0.3</v>
      </c>
      <c r="AA17" s="70">
        <v>0.5</v>
      </c>
      <c r="AB17" s="70">
        <v>0.7</v>
      </c>
      <c r="AC17" s="70">
        <v>0.9</v>
      </c>
      <c r="AD17" s="212">
        <v>0.1</v>
      </c>
      <c r="AE17" s="213">
        <v>0.3</v>
      </c>
      <c r="AF17" s="213">
        <v>0.5</v>
      </c>
      <c r="AG17" s="213">
        <v>0.7</v>
      </c>
      <c r="AH17" s="214">
        <v>0.9</v>
      </c>
      <c r="AI17" s="212">
        <v>0.1</v>
      </c>
      <c r="AJ17" s="213">
        <v>0.3</v>
      </c>
      <c r="AK17" s="213">
        <v>0.5</v>
      </c>
      <c r="AL17" s="213">
        <v>0.7</v>
      </c>
      <c r="AM17" s="214">
        <v>0.9</v>
      </c>
      <c r="AN17" s="70">
        <v>0.1</v>
      </c>
      <c r="AO17" s="70">
        <v>0.3</v>
      </c>
      <c r="AP17" s="70">
        <v>0.5</v>
      </c>
      <c r="AQ17" s="70">
        <v>0.7</v>
      </c>
      <c r="AR17" s="336">
        <v>0.9</v>
      </c>
    </row>
    <row r="18" spans="1:44" ht="13.4" customHeight="1" thickBot="1" x14ac:dyDescent="0.4">
      <c r="A18" s="1011" t="s">
        <v>87</v>
      </c>
      <c r="B18" s="1012"/>
      <c r="C18" s="86">
        <f>'user page'!C7*7</f>
        <v>43.325842229494555</v>
      </c>
      <c r="D18" s="66" t="s">
        <v>72</v>
      </c>
      <c r="E18" s="63"/>
      <c r="F18" s="75">
        <f>C17</f>
        <v>47.519051960664541</v>
      </c>
      <c r="G18" s="75">
        <f>F18*$C$20</f>
        <v>78.323575804221818</v>
      </c>
      <c r="H18" s="75">
        <f t="shared" ref="H18:H34" si="14">LN(F18)-(1/2*(LN(1+(G18/F18)^2)))</f>
        <v>3.2047060755655652</v>
      </c>
      <c r="I18" s="75">
        <f t="shared" ref="I18:I34" si="15">SQRT((LN(1+(G18/F18)^2)))</f>
        <v>1.1457963597141492</v>
      </c>
      <c r="J18" s="136">
        <f>NORMINV(O$17,$H18,$I18)</f>
        <v>1.736308956978593</v>
      </c>
      <c r="K18" s="329">
        <f>NORMINV(P$17,$H18,$I18)</f>
        <v>2.6038498770724585</v>
      </c>
      <c r="L18" s="329">
        <f>NORMINV(Q$17,$H18,$I18)</f>
        <v>3.2047060755655652</v>
      </c>
      <c r="M18" s="329">
        <f>NORMINV(R$17,$H18,$I18)</f>
        <v>3.8055622740586719</v>
      </c>
      <c r="N18" s="78">
        <f>NORMINV(S$17,$H18,$I18)</f>
        <v>4.6731031941525369</v>
      </c>
      <c r="O18" s="136">
        <f t="shared" ref="O18:O34" si="16">EXP(J18)</f>
        <v>5.6763530450153796</v>
      </c>
      <c r="P18" s="77">
        <f t="shared" ref="P18:P34" si="17">EXP(K18)</f>
        <v>13.515671676294929</v>
      </c>
      <c r="Q18" s="77">
        <f t="shared" ref="Q18:Q34" si="18">EXP(L18)</f>
        <v>24.648254227467582</v>
      </c>
      <c r="R18" s="77">
        <f t="shared" ref="R18:R34" si="19">EXP(M18)</f>
        <v>44.950517518668988</v>
      </c>
      <c r="S18" s="78">
        <f t="shared" ref="S18:S34" si="20">EXP(N18)</f>
        <v>107.02936051438414</v>
      </c>
      <c r="T18" s="136">
        <f>O18*(1-($C$19/$C$17))</f>
        <v>5.1754562921589065</v>
      </c>
      <c r="U18" s="77">
        <f>P18*(1-($C$19/$C$17))</f>
        <v>12.323012234283075</v>
      </c>
      <c r="V18" s="77">
        <f>Q18*(1-($C$19/$C$17))</f>
        <v>22.473225576464095</v>
      </c>
      <c r="W18" s="77">
        <f>R18*(1-($C$19/$C$17))</f>
        <v>40.983962217093612</v>
      </c>
      <c r="X18" s="78">
        <f>S18*(1-($C$19/$C$17))</f>
        <v>97.584800122031979</v>
      </c>
      <c r="Y18" s="136">
        <f t="shared" ref="Y18:Y34" si="21">O18-T18</f>
        <v>0.50089675285647317</v>
      </c>
      <c r="Z18" s="77">
        <f t="shared" ref="Z18:Z34" si="22">P18-U18</f>
        <v>1.1926594420118537</v>
      </c>
      <c r="AA18" s="77">
        <f t="shared" ref="AA18:AA34" si="23">Q18-V18</f>
        <v>2.1750286510034869</v>
      </c>
      <c r="AB18" s="77">
        <f t="shared" ref="AB18:AB34" si="24">R18-W18</f>
        <v>3.9665553015753758</v>
      </c>
      <c r="AC18" s="77">
        <f t="shared" ref="AC18:AC34" si="25">S18-X18</f>
        <v>9.4445603923521588</v>
      </c>
      <c r="AD18" s="135"/>
      <c r="AE18" s="75"/>
      <c r="AF18" s="75"/>
      <c r="AG18" s="75"/>
      <c r="AH18" s="76"/>
      <c r="AI18" s="75"/>
      <c r="AJ18" s="75"/>
      <c r="AK18" s="75"/>
      <c r="AL18" s="75"/>
      <c r="AM18" s="76"/>
      <c r="AN18" s="77"/>
      <c r="AO18" s="77"/>
      <c r="AP18" s="77"/>
      <c r="AQ18" s="77"/>
      <c r="AR18" s="337"/>
    </row>
    <row r="19" spans="1:44" ht="13.4" customHeight="1" x14ac:dyDescent="0.35">
      <c r="A19" s="1011" t="s">
        <v>88</v>
      </c>
      <c r="B19" s="1012"/>
      <c r="C19" s="86">
        <f>'user page'!C8*7</f>
        <v>4.1932097311699863</v>
      </c>
      <c r="D19" s="66" t="s">
        <v>114</v>
      </c>
      <c r="E19" s="60" t="s">
        <v>2</v>
      </c>
      <c r="F19" s="329">
        <f>H6+N6</f>
        <v>36.071867781112637</v>
      </c>
      <c r="G19" s="405">
        <f t="shared" ref="G19:G26" si="26">F19*$C$20</f>
        <v>59.4556825942689</v>
      </c>
      <c r="H19" s="77">
        <f t="shared" si="14"/>
        <v>2.929088626728928</v>
      </c>
      <c r="I19" s="77">
        <f t="shared" si="15"/>
        <v>1.1457963597141492</v>
      </c>
      <c r="J19" s="136">
        <f t="shared" ref="J19:J34" si="27">NORMINV(O$17,$H19,$I19)</f>
        <v>1.4606915081419558</v>
      </c>
      <c r="K19" s="329">
        <f t="shared" ref="K19:K34" si="28">NORMINV(P$17,$H19,$I19)</f>
        <v>2.3282324282358213</v>
      </c>
      <c r="L19" s="329">
        <f t="shared" ref="L19:L34" si="29">NORMINV(Q$17,$H19,$I19)</f>
        <v>2.929088626728928</v>
      </c>
      <c r="M19" s="329">
        <f t="shared" ref="M19:M34" si="30">NORMINV(R$17,$H19,$I19)</f>
        <v>3.5299448252220347</v>
      </c>
      <c r="N19" s="78">
        <f t="shared" ref="N19:N34" si="31">NORMINV(S$17,$H19,$I19)</f>
        <v>4.3974857453159002</v>
      </c>
      <c r="O19" s="136">
        <f t="shared" si="16"/>
        <v>4.3089381641747586</v>
      </c>
      <c r="P19" s="77">
        <f t="shared" si="17"/>
        <v>10.259790580077505</v>
      </c>
      <c r="Q19" s="77">
        <f t="shared" si="18"/>
        <v>18.71057041004206</v>
      </c>
      <c r="R19" s="77">
        <f t="shared" si="19"/>
        <v>34.122084884358017</v>
      </c>
      <c r="S19" s="78">
        <f t="shared" si="20"/>
        <v>81.246337666158936</v>
      </c>
      <c r="T19" s="136">
        <f>O19*(1-$P6)</f>
        <v>4.276027917570981</v>
      </c>
      <c r="U19" s="77">
        <f>P19*(1-$P6)</f>
        <v>10.181429688083099</v>
      </c>
      <c r="V19" s="77">
        <f>Q19*(1-$P6)</f>
        <v>18.567665252708533</v>
      </c>
      <c r="W19" s="77">
        <f>R19*(1-$P6)</f>
        <v>33.861471669363247</v>
      </c>
      <c r="X19" s="78">
        <f>S19*(1-$P6)</f>
        <v>80.625804971937924</v>
      </c>
      <c r="Y19" s="136">
        <f t="shared" si="21"/>
        <v>3.2910246603777615E-2</v>
      </c>
      <c r="Z19" s="77">
        <f t="shared" si="22"/>
        <v>7.8360891994405435E-2</v>
      </c>
      <c r="AA19" s="77">
        <f t="shared" si="23"/>
        <v>0.14290515733352649</v>
      </c>
      <c r="AB19" s="77">
        <f t="shared" si="24"/>
        <v>0.26061321499476975</v>
      </c>
      <c r="AC19" s="77">
        <f t="shared" si="25"/>
        <v>0.62053269422101209</v>
      </c>
      <c r="AD19" s="191">
        <f>T19*$AD6/60</f>
        <v>0.28599749136456232</v>
      </c>
      <c r="AE19" s="181">
        <f>U19*$AD6/60</f>
        <v>0.6809738863797089</v>
      </c>
      <c r="AF19" s="181">
        <f>V19*$AD6/60</f>
        <v>1.2418781600911852</v>
      </c>
      <c r="AG19" s="181">
        <f>W19*$AD6/60</f>
        <v>2.2647878213225741</v>
      </c>
      <c r="AH19" s="206">
        <f>X19*$AD6/60</f>
        <v>5.3925695542047238</v>
      </c>
      <c r="AI19" s="181">
        <f>Y19*$AF6/60</f>
        <v>3.2910246603777616E-3</v>
      </c>
      <c r="AJ19" s="181">
        <f t="shared" ref="AJ19:AM26" si="32">Z19*$AF6/60</f>
        <v>7.8360891994405431E-3</v>
      </c>
      <c r="AK19" s="181">
        <f t="shared" si="32"/>
        <v>1.429051573335265E-2</v>
      </c>
      <c r="AL19" s="181">
        <f t="shared" si="32"/>
        <v>2.6061321499476976E-2</v>
      </c>
      <c r="AM19" s="206">
        <f t="shared" si="32"/>
        <v>6.2053269422101209E-2</v>
      </c>
      <c r="AN19" s="77">
        <f>AD19+AI19</f>
        <v>0.2892885160249401</v>
      </c>
      <c r="AO19" s="77">
        <f>AE19+AJ19</f>
        <v>0.68880997557914947</v>
      </c>
      <c r="AP19" s="77">
        <f>AF19+AK19</f>
        <v>1.2561686758245378</v>
      </c>
      <c r="AQ19" s="77">
        <f>AG19+AL19</f>
        <v>2.2908491428220512</v>
      </c>
      <c r="AR19" s="337">
        <f>AH19+AM19</f>
        <v>5.454622823626825</v>
      </c>
    </row>
    <row r="20" spans="1:44" ht="13.4" customHeight="1" thickBot="1" x14ac:dyDescent="0.4">
      <c r="A20" s="1011" t="s">
        <v>27</v>
      </c>
      <c r="B20" s="1012"/>
      <c r="C20" s="90">
        <f>'user page'!C34:D34</f>
        <v>1.6482562797981899</v>
      </c>
      <c r="D20" s="71"/>
      <c r="E20" s="60" t="s">
        <v>3</v>
      </c>
      <c r="F20" s="329">
        <f t="shared" ref="F20:F26" si="33">H7+N7</f>
        <v>58.987076052729137</v>
      </c>
      <c r="G20" s="405">
        <f t="shared" si="26"/>
        <v>97.225818530844222</v>
      </c>
      <c r="H20" s="77">
        <f t="shared" si="14"/>
        <v>3.4208937209899322</v>
      </c>
      <c r="I20" s="77">
        <f t="shared" si="15"/>
        <v>1.1457963597141492</v>
      </c>
      <c r="J20" s="136">
        <f t="shared" si="27"/>
        <v>1.95249660240296</v>
      </c>
      <c r="K20" s="329">
        <f t="shared" si="28"/>
        <v>2.8200375224968255</v>
      </c>
      <c r="L20" s="329">
        <f t="shared" si="29"/>
        <v>3.4208937209899322</v>
      </c>
      <c r="M20" s="329">
        <f t="shared" si="30"/>
        <v>4.0217499194830388</v>
      </c>
      <c r="N20" s="78">
        <f t="shared" si="31"/>
        <v>4.8892908395769048</v>
      </c>
      <c r="O20" s="136">
        <f t="shared" si="16"/>
        <v>7.0462573421210166</v>
      </c>
      <c r="P20" s="77">
        <f t="shared" si="17"/>
        <v>16.777480193276489</v>
      </c>
      <c r="Q20" s="77">
        <f t="shared" si="18"/>
        <v>30.596747761006871</v>
      </c>
      <c r="R20" s="77">
        <f t="shared" si="19"/>
        <v>55.798663611347422</v>
      </c>
      <c r="S20" s="78">
        <f t="shared" si="20"/>
        <v>132.85932206229677</v>
      </c>
      <c r="T20" s="136">
        <f t="shared" ref="T20:T26" si="34">O20*(1-$P7)</f>
        <v>6.4393455036189149</v>
      </c>
      <c r="U20" s="77">
        <f t="shared" ref="U20:U26" si="35">P20*(1-$P7)</f>
        <v>15.332393694850506</v>
      </c>
      <c r="V20" s="77">
        <f t="shared" ref="V20:V26" si="36">Q20*(1-$P7)</f>
        <v>27.961373045863684</v>
      </c>
      <c r="W20" s="77">
        <f t="shared" ref="W20:W26" si="37">R20*(1-$P7)</f>
        <v>50.992584600311837</v>
      </c>
      <c r="X20" s="78">
        <f t="shared" ref="X20:X26" si="38">S20*(1-$P7)</f>
        <v>121.41581503439427</v>
      </c>
      <c r="Y20" s="136">
        <f t="shared" si="21"/>
        <v>0.60691183850210173</v>
      </c>
      <c r="Z20" s="77">
        <f t="shared" si="22"/>
        <v>1.445086498425983</v>
      </c>
      <c r="AA20" s="77">
        <f t="shared" si="23"/>
        <v>2.6353747151431861</v>
      </c>
      <c r="AB20" s="77">
        <f t="shared" si="24"/>
        <v>4.8060790110355853</v>
      </c>
      <c r="AC20" s="77">
        <f t="shared" si="25"/>
        <v>11.443507027902498</v>
      </c>
      <c r="AD20" s="191">
        <f t="shared" ref="AD20:AD26" si="39">T20*$AD7/60</f>
        <v>0.43068864272308921</v>
      </c>
      <c r="AE20" s="181">
        <f t="shared" ref="AE20:AE26" si="40">U20*$AD7/60</f>
        <v>1.0254905294986971</v>
      </c>
      <c r="AF20" s="181">
        <f t="shared" ref="AF20:AF26" si="41">V20*$AD7/60</f>
        <v>1.8701661215458978</v>
      </c>
      <c r="AG20" s="181">
        <f t="shared" ref="AG20:AG26" si="42">W20*$AD7/60</f>
        <v>3.4105837368266689</v>
      </c>
      <c r="AH20" s="206">
        <f t="shared" ref="AH20:AH26" si="43">X20*$AD7/60</f>
        <v>8.1207651542990771</v>
      </c>
      <c r="AI20" s="181">
        <f t="shared" ref="AI20:AI26" si="44">Y20*$AF7/60</f>
        <v>6.0691183850210176E-2</v>
      </c>
      <c r="AJ20" s="181">
        <f t="shared" si="32"/>
        <v>0.14450864984259831</v>
      </c>
      <c r="AK20" s="181">
        <f t="shared" si="32"/>
        <v>0.26353747151431861</v>
      </c>
      <c r="AL20" s="181">
        <f t="shared" si="32"/>
        <v>0.48060790110355855</v>
      </c>
      <c r="AM20" s="206">
        <f t="shared" si="32"/>
        <v>1.1443507027902498</v>
      </c>
      <c r="AN20" s="77">
        <f t="shared" ref="AN20:AN34" si="45">AD20+AI20</f>
        <v>0.49137982657329937</v>
      </c>
      <c r="AO20" s="77">
        <f t="shared" ref="AO20:AO34" si="46">AE20+AJ20</f>
        <v>1.1699991793412954</v>
      </c>
      <c r="AP20" s="77">
        <f t="shared" ref="AP20:AP34" si="47">AF20+AK20</f>
        <v>2.1337035930602166</v>
      </c>
      <c r="AQ20" s="77">
        <f t="shared" ref="AQ20:AQ34" si="48">AG20+AL20</f>
        <v>3.8911916379302274</v>
      </c>
      <c r="AR20" s="337">
        <f t="shared" ref="AR20:AR34" si="49">AH20+AM20</f>
        <v>9.2651158570893273</v>
      </c>
    </row>
    <row r="21" spans="1:44" ht="13.4" customHeight="1" x14ac:dyDescent="0.35">
      <c r="A21" s="1011"/>
      <c r="B21" s="1012"/>
      <c r="C21" s="52"/>
      <c r="D21" s="71"/>
      <c r="E21" s="60" t="s">
        <v>4</v>
      </c>
      <c r="F21" s="329">
        <f t="shared" si="33"/>
        <v>48.965910911694962</v>
      </c>
      <c r="G21" s="405">
        <f t="shared" si="26"/>
        <v>80.708370156239937</v>
      </c>
      <c r="H21" s="77">
        <f t="shared" si="14"/>
        <v>3.2346997113552987</v>
      </c>
      <c r="I21" s="77">
        <f t="shared" si="15"/>
        <v>1.1457963597141494</v>
      </c>
      <c r="J21" s="136">
        <f t="shared" si="27"/>
        <v>1.7663025927683262</v>
      </c>
      <c r="K21" s="329">
        <f t="shared" si="28"/>
        <v>2.633843512862192</v>
      </c>
      <c r="L21" s="329">
        <f t="shared" si="29"/>
        <v>3.2346997113552987</v>
      </c>
      <c r="M21" s="329">
        <f t="shared" si="30"/>
        <v>3.8355559098484053</v>
      </c>
      <c r="N21" s="78">
        <f t="shared" si="31"/>
        <v>4.7030968299422709</v>
      </c>
      <c r="O21" s="136">
        <f t="shared" si="16"/>
        <v>5.8491865059856796</v>
      </c>
      <c r="P21" s="77">
        <f t="shared" si="17"/>
        <v>13.927196522376098</v>
      </c>
      <c r="Q21" s="77">
        <f t="shared" si="18"/>
        <v>25.398743679273263</v>
      </c>
      <c r="R21" s="77">
        <f t="shared" si="19"/>
        <v>46.319169794795464</v>
      </c>
      <c r="S21" s="78">
        <f t="shared" si="20"/>
        <v>110.28818790874142</v>
      </c>
      <c r="T21" s="136">
        <f t="shared" si="34"/>
        <v>5.3240800026075279</v>
      </c>
      <c r="U21" s="77">
        <f t="shared" si="35"/>
        <v>12.676892491167425</v>
      </c>
      <c r="V21" s="77">
        <f t="shared" si="36"/>
        <v>23.118589768986279</v>
      </c>
      <c r="W21" s="77">
        <f t="shared" si="37"/>
        <v>42.160899706222658</v>
      </c>
      <c r="X21" s="78">
        <f t="shared" si="38"/>
        <v>100.38714531804828</v>
      </c>
      <c r="Y21" s="136">
        <f t="shared" si="21"/>
        <v>0.52510650337815168</v>
      </c>
      <c r="Z21" s="77">
        <f t="shared" si="22"/>
        <v>1.2503040312086728</v>
      </c>
      <c r="AA21" s="77">
        <f t="shared" si="23"/>
        <v>2.2801539102869839</v>
      </c>
      <c r="AB21" s="77">
        <f t="shared" si="24"/>
        <v>4.1582700885728059</v>
      </c>
      <c r="AC21" s="77">
        <f t="shared" si="25"/>
        <v>9.9010425906931374</v>
      </c>
      <c r="AD21" s="191">
        <f t="shared" si="39"/>
        <v>0.34117521133509249</v>
      </c>
      <c r="AE21" s="181">
        <f t="shared" si="40"/>
        <v>0.81235471154228633</v>
      </c>
      <c r="AF21" s="181">
        <f t="shared" si="41"/>
        <v>1.4814746860190333</v>
      </c>
      <c r="AG21" s="181">
        <f t="shared" si="42"/>
        <v>2.7017351092213686</v>
      </c>
      <c r="AH21" s="206">
        <f t="shared" si="43"/>
        <v>6.4329622211607704</v>
      </c>
      <c r="AI21" s="181">
        <f t="shared" si="44"/>
        <v>5.2510650337815171E-2</v>
      </c>
      <c r="AJ21" s="181">
        <f t="shared" si="32"/>
        <v>0.12503040312086727</v>
      </c>
      <c r="AK21" s="181">
        <f t="shared" si="32"/>
        <v>0.22801539102869839</v>
      </c>
      <c r="AL21" s="181">
        <f t="shared" si="32"/>
        <v>0.41582700885728058</v>
      </c>
      <c r="AM21" s="206">
        <f t="shared" si="32"/>
        <v>0.99010425906931376</v>
      </c>
      <c r="AN21" s="77">
        <f t="shared" si="45"/>
        <v>0.39368586167290764</v>
      </c>
      <c r="AO21" s="77">
        <f t="shared" si="46"/>
        <v>0.93738511466315355</v>
      </c>
      <c r="AP21" s="77">
        <f t="shared" si="47"/>
        <v>1.7094900770477317</v>
      </c>
      <c r="AQ21" s="77">
        <f t="shared" si="48"/>
        <v>3.117562118078649</v>
      </c>
      <c r="AR21" s="337">
        <f t="shared" si="49"/>
        <v>7.4230664802300845</v>
      </c>
    </row>
    <row r="22" spans="1:44" ht="13.4" customHeight="1" x14ac:dyDescent="0.35">
      <c r="A22" s="1011"/>
      <c r="B22" s="1012"/>
      <c r="C22" s="35"/>
      <c r="D22" s="71"/>
      <c r="E22" s="60" t="s">
        <v>5</v>
      </c>
      <c r="F22" s="329">
        <f t="shared" si="33"/>
        <v>29.189706651952811</v>
      </c>
      <c r="G22" s="405">
        <f t="shared" si="26"/>
        <v>48.11211729454822</v>
      </c>
      <c r="H22" s="77">
        <f t="shared" si="14"/>
        <v>2.7173914862407815</v>
      </c>
      <c r="I22" s="77">
        <f t="shared" si="15"/>
        <v>1.1457963597141492</v>
      </c>
      <c r="J22" s="136">
        <f t="shared" si="27"/>
        <v>1.2489943676538093</v>
      </c>
      <c r="K22" s="329">
        <f t="shared" si="28"/>
        <v>2.1165352877476749</v>
      </c>
      <c r="L22" s="329">
        <f t="shared" si="29"/>
        <v>2.7173914862407815</v>
      </c>
      <c r="M22" s="329">
        <f t="shared" si="30"/>
        <v>3.3182476847338882</v>
      </c>
      <c r="N22" s="78">
        <f t="shared" si="31"/>
        <v>4.1857886048277537</v>
      </c>
      <c r="O22" s="136">
        <f t="shared" si="16"/>
        <v>3.4868347199787202</v>
      </c>
      <c r="P22" s="77">
        <f t="shared" si="17"/>
        <v>8.3023224403073517</v>
      </c>
      <c r="Q22" s="77">
        <f t="shared" si="18"/>
        <v>15.140775766698876</v>
      </c>
      <c r="R22" s="77">
        <f t="shared" si="19"/>
        <v>27.611923346230501</v>
      </c>
      <c r="S22" s="78">
        <f t="shared" si="20"/>
        <v>65.745327561397858</v>
      </c>
      <c r="T22" s="136">
        <f t="shared" si="34"/>
        <v>2.8922976600595054</v>
      </c>
      <c r="U22" s="77">
        <f t="shared" si="35"/>
        <v>6.8867008893690906</v>
      </c>
      <c r="V22" s="77">
        <f t="shared" si="36"/>
        <v>12.559135674138314</v>
      </c>
      <c r="W22" s="77">
        <f t="shared" si="37"/>
        <v>22.903839068268855</v>
      </c>
      <c r="X22" s="78">
        <f t="shared" si="38"/>
        <v>54.535150741769954</v>
      </c>
      <c r="Y22" s="136">
        <f t="shared" si="21"/>
        <v>0.59453705991921479</v>
      </c>
      <c r="Z22" s="77">
        <f t="shared" si="22"/>
        <v>1.415621550938261</v>
      </c>
      <c r="AA22" s="77">
        <f t="shared" si="23"/>
        <v>2.581640092560562</v>
      </c>
      <c r="AB22" s="77">
        <f t="shared" si="24"/>
        <v>4.7080842779616461</v>
      </c>
      <c r="AC22" s="77">
        <f t="shared" si="25"/>
        <v>11.210176819627904</v>
      </c>
      <c r="AD22" s="191">
        <f t="shared" si="39"/>
        <v>0.19216840532072862</v>
      </c>
      <c r="AE22" s="181">
        <f t="shared" si="40"/>
        <v>0.45756228555109169</v>
      </c>
      <c r="AF22" s="181">
        <f t="shared" si="41"/>
        <v>0.83444698933794392</v>
      </c>
      <c r="AG22" s="181">
        <f t="shared" si="42"/>
        <v>1.5217639215533838</v>
      </c>
      <c r="AH22" s="206">
        <f t="shared" si="43"/>
        <v>3.6233936419102419</v>
      </c>
      <c r="AI22" s="181">
        <f t="shared" si="44"/>
        <v>5.9453705991921478E-2</v>
      </c>
      <c r="AJ22" s="181">
        <f t="shared" si="32"/>
        <v>0.14156215509382611</v>
      </c>
      <c r="AK22" s="181">
        <f t="shared" si="32"/>
        <v>0.2581640092560562</v>
      </c>
      <c r="AL22" s="181">
        <f t="shared" si="32"/>
        <v>0.47080842779616461</v>
      </c>
      <c r="AM22" s="206">
        <f t="shared" si="32"/>
        <v>1.1210176819627904</v>
      </c>
      <c r="AN22" s="77">
        <f t="shared" si="45"/>
        <v>0.25162211131265011</v>
      </c>
      <c r="AO22" s="77">
        <f t="shared" si="46"/>
        <v>0.59912444064491777</v>
      </c>
      <c r="AP22" s="77">
        <f t="shared" si="47"/>
        <v>1.092610998594</v>
      </c>
      <c r="AQ22" s="77">
        <f t="shared" si="48"/>
        <v>1.9925723493495484</v>
      </c>
      <c r="AR22" s="337">
        <f t="shared" si="49"/>
        <v>4.7444113238730328</v>
      </c>
    </row>
    <row r="23" spans="1:44" ht="13.4" customHeight="1" x14ac:dyDescent="0.35">
      <c r="A23" s="1011" t="s">
        <v>83</v>
      </c>
      <c r="B23" s="1012"/>
      <c r="C23" s="53">
        <f>C20*C17</f>
        <v>78.323575804221818</v>
      </c>
      <c r="D23" s="71"/>
      <c r="E23" s="60" t="s">
        <v>6</v>
      </c>
      <c r="F23" s="329">
        <f t="shared" si="33"/>
        <v>49.710492125984416</v>
      </c>
      <c r="G23" s="405">
        <f t="shared" si="26"/>
        <v>81.93563081851228</v>
      </c>
      <c r="H23" s="77">
        <f t="shared" si="14"/>
        <v>3.2497913710298154</v>
      </c>
      <c r="I23" s="77">
        <f t="shared" si="15"/>
        <v>1.1457963597141492</v>
      </c>
      <c r="J23" s="136">
        <f t="shared" si="27"/>
        <v>1.7813942524428432</v>
      </c>
      <c r="K23" s="329">
        <f t="shared" si="28"/>
        <v>2.6489351725367087</v>
      </c>
      <c r="L23" s="329">
        <f t="shared" si="29"/>
        <v>3.2497913710298154</v>
      </c>
      <c r="M23" s="329">
        <f t="shared" si="30"/>
        <v>3.8506475695229221</v>
      </c>
      <c r="N23" s="78">
        <f t="shared" si="31"/>
        <v>4.7181884896167876</v>
      </c>
      <c r="O23" s="136">
        <f t="shared" si="16"/>
        <v>5.938129901710238</v>
      </c>
      <c r="P23" s="77">
        <f t="shared" si="17"/>
        <v>14.138975057793926</v>
      </c>
      <c r="Q23" s="77">
        <f t="shared" si="18"/>
        <v>25.784959866372173</v>
      </c>
      <c r="R23" s="77">
        <f t="shared" si="19"/>
        <v>47.02350436242731</v>
      </c>
      <c r="S23" s="78">
        <f t="shared" si="20"/>
        <v>111.96524264633155</v>
      </c>
      <c r="T23" s="136">
        <f t="shared" si="34"/>
        <v>4.2341628745915649</v>
      </c>
      <c r="U23" s="77">
        <f t="shared" si="35"/>
        <v>10.081746991968798</v>
      </c>
      <c r="V23" s="77">
        <f t="shared" si="36"/>
        <v>18.385875956937603</v>
      </c>
      <c r="W23" s="77">
        <f t="shared" si="37"/>
        <v>33.529946245743126</v>
      </c>
      <c r="X23" s="78">
        <f t="shared" si="38"/>
        <v>79.836426872573796</v>
      </c>
      <c r="Y23" s="136">
        <f t="shared" si="21"/>
        <v>1.7039670271186731</v>
      </c>
      <c r="Z23" s="77">
        <f t="shared" si="22"/>
        <v>4.0572280658251287</v>
      </c>
      <c r="AA23" s="77">
        <f t="shared" si="23"/>
        <v>7.3990839094345695</v>
      </c>
      <c r="AB23" s="77">
        <f t="shared" si="24"/>
        <v>13.493558116684184</v>
      </c>
      <c r="AC23" s="77">
        <f t="shared" si="25"/>
        <v>32.128815773757751</v>
      </c>
      <c r="AD23" s="191">
        <f t="shared" si="39"/>
        <v>0.27617162445454668</v>
      </c>
      <c r="AE23" s="181">
        <f t="shared" si="40"/>
        <v>0.65757802110537389</v>
      </c>
      <c r="AF23" s="181">
        <f t="shared" si="41"/>
        <v>1.1992115987123078</v>
      </c>
      <c r="AG23" s="181">
        <f t="shared" si="42"/>
        <v>2.1869776852771041</v>
      </c>
      <c r="AH23" s="206">
        <f t="shared" si="43"/>
        <v>5.2072998496006546</v>
      </c>
      <c r="AI23" s="181">
        <f t="shared" si="44"/>
        <v>0.1703967027118673</v>
      </c>
      <c r="AJ23" s="181">
        <f t="shared" si="32"/>
        <v>0.40572280658251286</v>
      </c>
      <c r="AK23" s="181">
        <f t="shared" si="32"/>
        <v>0.73990839094345695</v>
      </c>
      <c r="AL23" s="181">
        <f t="shared" si="32"/>
        <v>1.3493558116684183</v>
      </c>
      <c r="AM23" s="206">
        <f t="shared" si="32"/>
        <v>3.2128815773757751</v>
      </c>
      <c r="AN23" s="77">
        <f t="shared" si="45"/>
        <v>0.44656832716641398</v>
      </c>
      <c r="AO23" s="77">
        <f t="shared" si="46"/>
        <v>1.0633008276878868</v>
      </c>
      <c r="AP23" s="77">
        <f t="shared" si="47"/>
        <v>1.9391199896557647</v>
      </c>
      <c r="AQ23" s="77">
        <f t="shared" si="48"/>
        <v>3.5363334969455225</v>
      </c>
      <c r="AR23" s="337">
        <f t="shared" si="49"/>
        <v>8.4201814269764306</v>
      </c>
    </row>
    <row r="24" spans="1:44" ht="13.4" customHeight="1" x14ac:dyDescent="0.35">
      <c r="A24" s="1011" t="s">
        <v>75</v>
      </c>
      <c r="B24" s="1012"/>
      <c r="C24" s="440">
        <f>'Calibration Data'!$T$145</f>
        <v>1.6482562797981899</v>
      </c>
      <c r="D24" s="71"/>
      <c r="E24" s="60" t="s">
        <v>7</v>
      </c>
      <c r="F24" s="329">
        <f t="shared" si="33"/>
        <v>54.219653683990217</v>
      </c>
      <c r="G24" s="405">
        <f t="shared" si="26"/>
        <v>89.367884673119931</v>
      </c>
      <c r="H24" s="77">
        <f t="shared" si="14"/>
        <v>3.3366188078456607</v>
      </c>
      <c r="I24" s="77">
        <f t="shared" si="15"/>
        <v>1.1457963597141492</v>
      </c>
      <c r="J24" s="136">
        <f t="shared" si="27"/>
        <v>1.8682216892586885</v>
      </c>
      <c r="K24" s="329">
        <f t="shared" si="28"/>
        <v>2.735762609352554</v>
      </c>
      <c r="L24" s="329">
        <f t="shared" si="29"/>
        <v>3.3366188078456607</v>
      </c>
      <c r="M24" s="329">
        <f t="shared" si="30"/>
        <v>3.9374750063387673</v>
      </c>
      <c r="N24" s="78">
        <f t="shared" si="31"/>
        <v>4.8050159264326329</v>
      </c>
      <c r="O24" s="136">
        <f t="shared" si="16"/>
        <v>6.4767684452872478</v>
      </c>
      <c r="P24" s="77">
        <f t="shared" si="17"/>
        <v>15.421499532478855</v>
      </c>
      <c r="Q24" s="77">
        <f t="shared" si="18"/>
        <v>28.123873540964276</v>
      </c>
      <c r="R24" s="77">
        <f t="shared" si="19"/>
        <v>51.288933432338716</v>
      </c>
      <c r="S24" s="78">
        <f t="shared" si="20"/>
        <v>122.12143596451695</v>
      </c>
      <c r="T24" s="136">
        <f t="shared" si="34"/>
        <v>6.3274154708032642</v>
      </c>
      <c r="U24" s="77">
        <f t="shared" si="35"/>
        <v>15.065882862586168</v>
      </c>
      <c r="V24" s="77">
        <f t="shared" si="36"/>
        <v>27.475342687524428</v>
      </c>
      <c r="W24" s="77">
        <f t="shared" si="37"/>
        <v>50.10622096840855</v>
      </c>
      <c r="X24" s="78">
        <f t="shared" si="38"/>
        <v>119.30534027364389</v>
      </c>
      <c r="Y24" s="136">
        <f t="shared" si="21"/>
        <v>0.14935297448398366</v>
      </c>
      <c r="Z24" s="77">
        <f t="shared" si="22"/>
        <v>0.35561666989268659</v>
      </c>
      <c r="AA24" s="77">
        <f t="shared" si="23"/>
        <v>0.64853085343984773</v>
      </c>
      <c r="AB24" s="77">
        <f t="shared" si="24"/>
        <v>1.1827124639301658</v>
      </c>
      <c r="AC24" s="77">
        <f t="shared" si="25"/>
        <v>2.8160956908730554</v>
      </c>
      <c r="AD24" s="191">
        <f t="shared" si="39"/>
        <v>0.40920350512722309</v>
      </c>
      <c r="AE24" s="181">
        <f t="shared" si="40"/>
        <v>0.97433337571300238</v>
      </c>
      <c r="AF24" s="181">
        <f t="shared" si="41"/>
        <v>1.7768718656433218</v>
      </c>
      <c r="AG24" s="181">
        <f t="shared" si="42"/>
        <v>3.2404449089146041</v>
      </c>
      <c r="AH24" s="206">
        <f t="shared" si="43"/>
        <v>7.7156563601115042</v>
      </c>
      <c r="AI24" s="181">
        <f t="shared" si="44"/>
        <v>1.4935297448398365E-2</v>
      </c>
      <c r="AJ24" s="181">
        <f t="shared" si="32"/>
        <v>3.5561666989268659E-2</v>
      </c>
      <c r="AK24" s="181">
        <f t="shared" si="32"/>
        <v>6.4853085343984776E-2</v>
      </c>
      <c r="AL24" s="181">
        <f t="shared" si="32"/>
        <v>0.11827124639301659</v>
      </c>
      <c r="AM24" s="181">
        <f t="shared" si="32"/>
        <v>0.28160956908730556</v>
      </c>
      <c r="AN24" s="136">
        <f t="shared" si="45"/>
        <v>0.42413880257562148</v>
      </c>
      <c r="AO24" s="77">
        <f t="shared" si="46"/>
        <v>1.009895042702271</v>
      </c>
      <c r="AP24" s="77">
        <f t="shared" si="47"/>
        <v>1.8417249509873066</v>
      </c>
      <c r="AQ24" s="77">
        <f t="shared" si="48"/>
        <v>3.3587161553076208</v>
      </c>
      <c r="AR24" s="337">
        <f t="shared" si="49"/>
        <v>7.99726592919881</v>
      </c>
    </row>
    <row r="25" spans="1:44" ht="13.4" customHeight="1" x14ac:dyDescent="0.35">
      <c r="A25" s="1011" t="s">
        <v>243</v>
      </c>
      <c r="B25" s="1012"/>
      <c r="C25" s="54">
        <f>Baseline!C24-(-0.0108*('user page'!C7+'user page'!C8))-1.2682</f>
        <v>0.45337138853750081</v>
      </c>
      <c r="D25" s="71"/>
      <c r="E25" s="60" t="s">
        <v>8</v>
      </c>
      <c r="F25" s="329">
        <f t="shared" si="33"/>
        <v>70.153877989609811</v>
      </c>
      <c r="G25" s="405">
        <f t="shared" si="26"/>
        <v>115.63156994857039</v>
      </c>
      <c r="H25" s="77">
        <f t="shared" si="14"/>
        <v>3.5942664374448565</v>
      </c>
      <c r="I25" s="77">
        <f t="shared" si="15"/>
        <v>1.1457963597141492</v>
      </c>
      <c r="J25" s="136">
        <f t="shared" si="27"/>
        <v>2.1258693188578843</v>
      </c>
      <c r="K25" s="329">
        <f t="shared" si="28"/>
        <v>2.9934102389517498</v>
      </c>
      <c r="L25" s="329">
        <f t="shared" si="29"/>
        <v>3.5942664374448565</v>
      </c>
      <c r="M25" s="329">
        <f t="shared" si="30"/>
        <v>4.1951226359379632</v>
      </c>
      <c r="N25" s="78">
        <f t="shared" si="31"/>
        <v>5.0626635560318292</v>
      </c>
      <c r="O25" s="136">
        <f t="shared" si="16"/>
        <v>8.3801793704890688</v>
      </c>
      <c r="P25" s="77">
        <f t="shared" si="17"/>
        <v>19.953613184692834</v>
      </c>
      <c r="Q25" s="77">
        <f t="shared" si="18"/>
        <v>36.388996589452653</v>
      </c>
      <c r="R25" s="77">
        <f t="shared" si="19"/>
        <v>66.361869428390492</v>
      </c>
      <c r="S25" s="78">
        <f t="shared" si="20"/>
        <v>158.01082700571351</v>
      </c>
      <c r="T25" s="136">
        <f t="shared" si="34"/>
        <v>8.0369396519310836</v>
      </c>
      <c r="U25" s="77">
        <f t="shared" si="35"/>
        <v>19.136342781406803</v>
      </c>
      <c r="V25" s="77">
        <f t="shared" si="36"/>
        <v>34.898557256858474</v>
      </c>
      <c r="W25" s="77">
        <f t="shared" si="37"/>
        <v>63.643785676413088</v>
      </c>
      <c r="X25" s="78">
        <f t="shared" si="38"/>
        <v>151.53893787389526</v>
      </c>
      <c r="Y25" s="136">
        <f t="shared" si="21"/>
        <v>0.34323971855798519</v>
      </c>
      <c r="Z25" s="77">
        <f t="shared" si="22"/>
        <v>0.81727040328603096</v>
      </c>
      <c r="AA25" s="77">
        <f t="shared" si="23"/>
        <v>1.4904393325941783</v>
      </c>
      <c r="AB25" s="77">
        <f t="shared" si="24"/>
        <v>2.718083751977403</v>
      </c>
      <c r="AC25" s="77">
        <f t="shared" si="25"/>
        <v>6.4718891318182443</v>
      </c>
      <c r="AD25" s="191">
        <f t="shared" si="39"/>
        <v>0.48064285262765971</v>
      </c>
      <c r="AE25" s="181">
        <f t="shared" si="40"/>
        <v>1.1444339240628851</v>
      </c>
      <c r="AF25" s="181">
        <f t="shared" si="41"/>
        <v>2.0870807594649343</v>
      </c>
      <c r="AG25" s="181">
        <f t="shared" si="42"/>
        <v>3.8061665290947593</v>
      </c>
      <c r="AH25" s="206">
        <f t="shared" si="43"/>
        <v>9.0626669526346326</v>
      </c>
      <c r="AI25" s="181">
        <f t="shared" si="44"/>
        <v>3.4323971855798517E-2</v>
      </c>
      <c r="AJ25" s="181">
        <f t="shared" si="32"/>
        <v>8.172704032860309E-2</v>
      </c>
      <c r="AK25" s="181">
        <f t="shared" si="32"/>
        <v>0.14904393325941784</v>
      </c>
      <c r="AL25" s="181">
        <f t="shared" si="32"/>
        <v>0.27180837519774032</v>
      </c>
      <c r="AM25" s="206">
        <f t="shared" si="32"/>
        <v>0.64718891318182448</v>
      </c>
      <c r="AN25" s="77">
        <f t="shared" si="45"/>
        <v>0.51496682448345821</v>
      </c>
      <c r="AO25" s="77">
        <f t="shared" si="46"/>
        <v>1.2261609643914881</v>
      </c>
      <c r="AP25" s="77">
        <f t="shared" si="47"/>
        <v>2.2361246927243523</v>
      </c>
      <c r="AQ25" s="77">
        <f t="shared" si="48"/>
        <v>4.0779749042924998</v>
      </c>
      <c r="AR25" s="337">
        <f t="shared" si="49"/>
        <v>9.7098558658164578</v>
      </c>
    </row>
    <row r="26" spans="1:44" ht="13.4" customHeight="1" thickBot="1" x14ac:dyDescent="0.4">
      <c r="D26" s="71"/>
      <c r="E26" s="60" t="s">
        <v>9</v>
      </c>
      <c r="F26" s="79">
        <f t="shared" si="33"/>
        <v>35.214796194898646</v>
      </c>
      <c r="G26" s="405">
        <f t="shared" si="26"/>
        <v>58.043008970055098</v>
      </c>
      <c r="H26" s="77">
        <f t="shared" si="14"/>
        <v>2.9050416917621193</v>
      </c>
      <c r="I26" s="77">
        <f t="shared" si="15"/>
        <v>1.1457963597141492</v>
      </c>
      <c r="J26" s="136">
        <f t="shared" si="27"/>
        <v>1.4366445731751472</v>
      </c>
      <c r="K26" s="329">
        <f t="shared" si="28"/>
        <v>2.3041854932690127</v>
      </c>
      <c r="L26" s="329">
        <f t="shared" si="29"/>
        <v>2.9050416917621193</v>
      </c>
      <c r="M26" s="329">
        <f t="shared" si="30"/>
        <v>3.505897890255226</v>
      </c>
      <c r="N26" s="78">
        <f t="shared" si="31"/>
        <v>4.3734388103490911</v>
      </c>
      <c r="O26" s="136">
        <f t="shared" si="16"/>
        <v>4.2065573146529882</v>
      </c>
      <c r="P26" s="77">
        <f t="shared" si="17"/>
        <v>10.016016815989396</v>
      </c>
      <c r="Q26" s="77">
        <f t="shared" si="18"/>
        <v>18.266005178277155</v>
      </c>
      <c r="R26" s="77">
        <f t="shared" si="19"/>
        <v>33.311340356399917</v>
      </c>
      <c r="S26" s="78">
        <f t="shared" si="20"/>
        <v>79.315915656404442</v>
      </c>
      <c r="T26" s="136">
        <f t="shared" si="34"/>
        <v>4.1845960018740671</v>
      </c>
      <c r="U26" s="77">
        <f t="shared" si="35"/>
        <v>9.9637258660173931</v>
      </c>
      <c r="V26" s="77">
        <f t="shared" si="36"/>
        <v>18.170643241440064</v>
      </c>
      <c r="W26" s="77">
        <f t="shared" si="37"/>
        <v>33.13743074102306</v>
      </c>
      <c r="X26" s="78">
        <f t="shared" si="38"/>
        <v>78.901828434530813</v>
      </c>
      <c r="Y26" s="136">
        <f t="shared" si="21"/>
        <v>2.1961312778921105E-2</v>
      </c>
      <c r="Z26" s="77">
        <f t="shared" si="22"/>
        <v>5.2290949972002565E-2</v>
      </c>
      <c r="AA26" s="77">
        <f t="shared" si="23"/>
        <v>9.5361936837090155E-2</v>
      </c>
      <c r="AB26" s="77">
        <f t="shared" si="24"/>
        <v>0.17390961537685712</v>
      </c>
      <c r="AC26" s="77">
        <f t="shared" si="25"/>
        <v>0.41408722187362912</v>
      </c>
      <c r="AD26" s="207">
        <f t="shared" si="39"/>
        <v>0.25025647156026426</v>
      </c>
      <c r="AE26" s="182">
        <f t="shared" si="40"/>
        <v>0.59587278621557382</v>
      </c>
      <c r="AF26" s="182">
        <f t="shared" si="41"/>
        <v>1.086681022862575</v>
      </c>
      <c r="AG26" s="182">
        <f t="shared" si="42"/>
        <v>1.9817579737941526</v>
      </c>
      <c r="AH26" s="208">
        <f t="shared" si="43"/>
        <v>4.7186617716109085</v>
      </c>
      <c r="AI26" s="181">
        <f t="shared" si="44"/>
        <v>2.1961312778921104E-3</v>
      </c>
      <c r="AJ26" s="181">
        <f t="shared" si="32"/>
        <v>5.2290949972002565E-3</v>
      </c>
      <c r="AK26" s="181">
        <f t="shared" si="32"/>
        <v>9.5361936837090149E-3</v>
      </c>
      <c r="AL26" s="181">
        <f t="shared" si="32"/>
        <v>1.7390961537685712E-2</v>
      </c>
      <c r="AM26" s="181">
        <f t="shared" si="32"/>
        <v>4.1408722187362912E-2</v>
      </c>
      <c r="AN26" s="137">
        <f t="shared" si="45"/>
        <v>0.25245260283815635</v>
      </c>
      <c r="AO26" s="77">
        <f t="shared" si="46"/>
        <v>0.60110188121277408</v>
      </c>
      <c r="AP26" s="77">
        <f t="shared" si="47"/>
        <v>1.096217216546284</v>
      </c>
      <c r="AQ26" s="77">
        <f t="shared" si="48"/>
        <v>1.9991489353318384</v>
      </c>
      <c r="AR26" s="337">
        <f t="shared" si="49"/>
        <v>4.7600704937982714</v>
      </c>
    </row>
    <row r="27" spans="1:44" ht="13.4" customHeight="1" x14ac:dyDescent="0.35">
      <c r="D27" s="66" t="s">
        <v>115</v>
      </c>
      <c r="E27" s="87" t="s">
        <v>2</v>
      </c>
      <c r="F27" s="329">
        <f>I6+O6</f>
        <v>18.181413275024383</v>
      </c>
      <c r="G27" s="75">
        <f>F27*$C$20</f>
        <v>29.967628606165114</v>
      </c>
      <c r="H27" s="75">
        <f t="shared" si="14"/>
        <v>2.2439751746609318</v>
      </c>
      <c r="I27" s="75">
        <f t="shared" si="15"/>
        <v>1.1457963597141492</v>
      </c>
      <c r="J27" s="135">
        <f t="shared" si="27"/>
        <v>0.77557805607395958</v>
      </c>
      <c r="K27" s="75">
        <f t="shared" si="28"/>
        <v>1.6431189761678251</v>
      </c>
      <c r="L27" s="75">
        <f t="shared" si="29"/>
        <v>2.2439751746609318</v>
      </c>
      <c r="M27" s="75">
        <f t="shared" si="30"/>
        <v>2.8448313731540384</v>
      </c>
      <c r="N27" s="76">
        <f t="shared" si="31"/>
        <v>3.712372293247904</v>
      </c>
      <c r="O27" s="135">
        <f t="shared" si="16"/>
        <v>2.1718472138669411</v>
      </c>
      <c r="P27" s="75">
        <f t="shared" si="17"/>
        <v>5.1712734639502926</v>
      </c>
      <c r="Q27" s="75">
        <f t="shared" si="18"/>
        <v>9.4307457351720245</v>
      </c>
      <c r="R27" s="75">
        <f t="shared" si="19"/>
        <v>17.198658268891002</v>
      </c>
      <c r="S27" s="76">
        <f t="shared" si="20"/>
        <v>40.950838785344772</v>
      </c>
      <c r="T27" s="135">
        <f>O27*(1-$Q6)</f>
        <v>2.0989321027826437</v>
      </c>
      <c r="U27" s="75">
        <f>P27*(1-$Q6)</f>
        <v>4.9976590509917225</v>
      </c>
      <c r="V27" s="75">
        <f>Q27*(1-$Q6)</f>
        <v>9.1141286782734898</v>
      </c>
      <c r="W27" s="75">
        <f>R27*(1-$Q6)</f>
        <v>16.621250212665785</v>
      </c>
      <c r="X27" s="76">
        <f>S27*(1-$Q6)</f>
        <v>39.57600222227358</v>
      </c>
      <c r="Y27" s="135">
        <f t="shared" si="21"/>
        <v>7.2915111084297379E-2</v>
      </c>
      <c r="Z27" s="75">
        <f t="shared" si="22"/>
        <v>0.17361441295857016</v>
      </c>
      <c r="AA27" s="75">
        <f t="shared" si="23"/>
        <v>0.3166170568985347</v>
      </c>
      <c r="AB27" s="75">
        <f t="shared" si="24"/>
        <v>0.57740805622521663</v>
      </c>
      <c r="AC27" s="75">
        <f t="shared" si="25"/>
        <v>1.3748365630711916</v>
      </c>
      <c r="AD27" s="209">
        <f>T27*$AE6/60</f>
        <v>0.11577322936663501</v>
      </c>
      <c r="AE27" s="180">
        <f>U27*$AE6/60</f>
        <v>0.2756616694935658</v>
      </c>
      <c r="AF27" s="180">
        <f>V27*$AE6/60</f>
        <v>0.50271855318611602</v>
      </c>
      <c r="AG27" s="180">
        <f>W27*$AE6/60</f>
        <v>0.91679755180268385</v>
      </c>
      <c r="AH27" s="210">
        <f>X27*$AE6/60</f>
        <v>2.1829393988587786</v>
      </c>
      <c r="AI27" s="180">
        <f>Y27*$AG6/60</f>
        <v>7.2915111084297379E-3</v>
      </c>
      <c r="AJ27" s="180">
        <f>Z27*$AG6/60</f>
        <v>1.7361441295857018E-2</v>
      </c>
      <c r="AK27" s="180">
        <f>AA27*$AG6/60</f>
        <v>3.1661705689853471E-2</v>
      </c>
      <c r="AL27" s="180">
        <f>AB27*$AG6/60</f>
        <v>5.7740805622521665E-2</v>
      </c>
      <c r="AM27" s="180">
        <f>AC27*$AG6/60</f>
        <v>0.13748365630711917</v>
      </c>
      <c r="AN27" s="135">
        <f t="shared" si="45"/>
        <v>0.12306474047506474</v>
      </c>
      <c r="AO27" s="75">
        <f t="shared" si="46"/>
        <v>0.29302311078942284</v>
      </c>
      <c r="AP27" s="75">
        <f t="shared" si="47"/>
        <v>0.53438025887596952</v>
      </c>
      <c r="AQ27" s="75">
        <f t="shared" si="48"/>
        <v>0.97453835742520556</v>
      </c>
      <c r="AR27" s="338">
        <f t="shared" si="49"/>
        <v>2.320423055165898</v>
      </c>
    </row>
    <row r="28" spans="1:44" ht="13.4" customHeight="1" x14ac:dyDescent="0.35">
      <c r="D28" s="71"/>
      <c r="E28" s="60" t="s">
        <v>3</v>
      </c>
      <c r="F28" s="329">
        <f t="shared" ref="F28:F34" si="50">I7+O7</f>
        <v>56.450249682938498</v>
      </c>
      <c r="G28" s="405">
        <f t="shared" ref="G28:G34" si="51">F28*$C$20</f>
        <v>93.044478536079154</v>
      </c>
      <c r="H28" s="77">
        <f t="shared" si="14"/>
        <v>3.3769350647000751</v>
      </c>
      <c r="I28" s="77">
        <f t="shared" si="15"/>
        <v>1.1457963597141492</v>
      </c>
      <c r="J28" s="136">
        <f t="shared" si="27"/>
        <v>1.9085379461131029</v>
      </c>
      <c r="K28" s="329">
        <f t="shared" si="28"/>
        <v>2.7760788662069684</v>
      </c>
      <c r="L28" s="329">
        <f t="shared" si="29"/>
        <v>3.3769350647000751</v>
      </c>
      <c r="M28" s="329">
        <f t="shared" si="30"/>
        <v>3.9777912631931818</v>
      </c>
      <c r="N28" s="78">
        <f t="shared" si="31"/>
        <v>4.8453321832870468</v>
      </c>
      <c r="O28" s="136">
        <f t="shared" si="16"/>
        <v>6.7432226329951623</v>
      </c>
      <c r="P28" s="77">
        <f t="shared" si="17"/>
        <v>16.055939865783436</v>
      </c>
      <c r="Q28" s="77">
        <f t="shared" si="18"/>
        <v>29.28088941128005</v>
      </c>
      <c r="R28" s="77">
        <f t="shared" si="19"/>
        <v>53.398959630058222</v>
      </c>
      <c r="S28" s="78">
        <f t="shared" si="20"/>
        <v>127.14551059317321</v>
      </c>
      <c r="T28" s="136">
        <f t="shared" ref="T28:T34" si="52">O28*(1-$Q7)</f>
        <v>6.3693285326651656</v>
      </c>
      <c r="U28" s="77">
        <f t="shared" ref="U28:U34" si="53">P28*(1-$Q7)</f>
        <v>15.165679893986663</v>
      </c>
      <c r="V28" s="77">
        <f t="shared" ref="V28:V34" si="54">Q28*(1-$Q7)</f>
        <v>27.657340494220211</v>
      </c>
      <c r="W28" s="77">
        <f t="shared" ref="W28:W34" si="55">R28*(1-$Q7)</f>
        <v>50.438126649141161</v>
      </c>
      <c r="X28" s="78">
        <f t="shared" ref="X28:X34" si="56">S28*(1-$Q7)</f>
        <v>120.0956237836201</v>
      </c>
      <c r="Y28" s="136">
        <f t="shared" si="21"/>
        <v>0.3738941003299967</v>
      </c>
      <c r="Z28" s="77">
        <f t="shared" si="22"/>
        <v>0.89025997179677319</v>
      </c>
      <c r="AA28" s="77">
        <f t="shared" si="23"/>
        <v>1.6235489170598392</v>
      </c>
      <c r="AB28" s="77">
        <f t="shared" si="24"/>
        <v>2.9608329809170613</v>
      </c>
      <c r="AC28" s="77">
        <f t="shared" si="25"/>
        <v>7.0498868095531151</v>
      </c>
      <c r="AD28" s="191">
        <f t="shared" ref="AD28:AD34" si="57">T28*$AE7/60</f>
        <v>0.35132043201688012</v>
      </c>
      <c r="AE28" s="181">
        <f t="shared" ref="AE28:AE34" si="58">U28*$AE7/60</f>
        <v>0.83651097362309657</v>
      </c>
      <c r="AF28" s="181">
        <f t="shared" ref="AF28:AF34" si="59">V28*$AE7/60</f>
        <v>1.5255279675142792</v>
      </c>
      <c r="AG28" s="181">
        <f t="shared" ref="AG28:AG34" si="60">W28*$AE7/60</f>
        <v>2.7820741784038101</v>
      </c>
      <c r="AH28" s="181">
        <f t="shared" ref="AH28:AH34" si="61">X28*$AE7/60</f>
        <v>6.624253438116086</v>
      </c>
      <c r="AI28" s="191">
        <f t="shared" ref="AI28:AI34" si="62">Y28*$AG7/60</f>
        <v>3.738941003299967E-2</v>
      </c>
      <c r="AJ28" s="181">
        <f t="shared" ref="AJ28:AJ34" si="63">Z28*$AG7/60</f>
        <v>8.9025997179677324E-2</v>
      </c>
      <c r="AK28" s="181">
        <f t="shared" ref="AK28:AK34" si="64">AA28*$AG7/60</f>
        <v>0.16235489170598391</v>
      </c>
      <c r="AL28" s="181">
        <f t="shared" ref="AL28:AL34" si="65">AB28*$AG7/60</f>
        <v>0.29608329809170614</v>
      </c>
      <c r="AM28" s="181">
        <f t="shared" ref="AM28:AM34" si="66">AC28*$AG7/60</f>
        <v>0.70498868095531153</v>
      </c>
      <c r="AN28" s="136">
        <f t="shared" si="45"/>
        <v>0.38870984204987979</v>
      </c>
      <c r="AO28" s="77">
        <f t="shared" si="46"/>
        <v>0.92553697080277386</v>
      </c>
      <c r="AP28" s="77">
        <f t="shared" si="47"/>
        <v>1.687882859220263</v>
      </c>
      <c r="AQ28" s="77">
        <f t="shared" si="48"/>
        <v>3.0781574764955164</v>
      </c>
      <c r="AR28" s="337">
        <f t="shared" si="49"/>
        <v>7.3292421190713979</v>
      </c>
    </row>
    <row r="29" spans="1:44" ht="13.4" customHeight="1" x14ac:dyDescent="0.35">
      <c r="D29" s="71"/>
      <c r="E29" s="60" t="s">
        <v>4</v>
      </c>
      <c r="F29" s="329">
        <f t="shared" si="50"/>
        <v>50.592812297414689</v>
      </c>
      <c r="G29" s="405">
        <f t="shared" si="51"/>
        <v>83.389920581864843</v>
      </c>
      <c r="H29" s="77">
        <f t="shared" si="14"/>
        <v>3.2673848677781341</v>
      </c>
      <c r="I29" s="77">
        <f t="shared" si="15"/>
        <v>1.1457963597141492</v>
      </c>
      <c r="J29" s="136">
        <f t="shared" si="27"/>
        <v>1.7989877491911619</v>
      </c>
      <c r="K29" s="329">
        <f t="shared" si="28"/>
        <v>2.6665286692850274</v>
      </c>
      <c r="L29" s="329">
        <f t="shared" si="29"/>
        <v>3.2673848677781341</v>
      </c>
      <c r="M29" s="329">
        <f t="shared" si="30"/>
        <v>3.8682410662712408</v>
      </c>
      <c r="N29" s="78">
        <f t="shared" si="31"/>
        <v>4.7357819863651063</v>
      </c>
      <c r="O29" s="136">
        <f t="shared" si="16"/>
        <v>6.0435268022191657</v>
      </c>
      <c r="P29" s="77">
        <f t="shared" si="17"/>
        <v>14.389930185440313</v>
      </c>
      <c r="Q29" s="77">
        <f t="shared" si="18"/>
        <v>26.242621604098726</v>
      </c>
      <c r="R29" s="77">
        <f t="shared" si="19"/>
        <v>47.858132720665225</v>
      </c>
      <c r="S29" s="78">
        <f t="shared" si="20"/>
        <v>113.95253321339283</v>
      </c>
      <c r="T29" s="136">
        <f t="shared" si="52"/>
        <v>5.8239136744299547</v>
      </c>
      <c r="U29" s="77">
        <f t="shared" si="53"/>
        <v>13.867020685720298</v>
      </c>
      <c r="V29" s="77">
        <f t="shared" si="54"/>
        <v>25.289002235727825</v>
      </c>
      <c r="W29" s="77">
        <f t="shared" si="55"/>
        <v>46.119036566896675</v>
      </c>
      <c r="X29" s="78">
        <f t="shared" si="56"/>
        <v>109.81166099465659</v>
      </c>
      <c r="Y29" s="136">
        <f t="shared" si="21"/>
        <v>0.21961312778921105</v>
      </c>
      <c r="Z29" s="77">
        <f t="shared" si="22"/>
        <v>0.52290949972001499</v>
      </c>
      <c r="AA29" s="77">
        <f t="shared" si="23"/>
        <v>0.95361936837090155</v>
      </c>
      <c r="AB29" s="77">
        <f t="shared" si="24"/>
        <v>1.7390961537685499</v>
      </c>
      <c r="AC29" s="77">
        <f t="shared" si="25"/>
        <v>4.1408722187362343</v>
      </c>
      <c r="AD29" s="191">
        <f t="shared" si="57"/>
        <v>0.36590389447877597</v>
      </c>
      <c r="AE29" s="181">
        <f t="shared" si="58"/>
        <v>0.87123490445957674</v>
      </c>
      <c r="AF29" s="181">
        <f t="shared" si="59"/>
        <v>1.5888532905565436</v>
      </c>
      <c r="AG29" s="181">
        <f t="shared" si="60"/>
        <v>2.897559275908792</v>
      </c>
      <c r="AH29" s="181">
        <f t="shared" si="61"/>
        <v>6.8992290516841877</v>
      </c>
      <c r="AI29" s="191">
        <f t="shared" si="62"/>
        <v>2.1961312778921105E-2</v>
      </c>
      <c r="AJ29" s="181">
        <f t="shared" si="63"/>
        <v>5.2290949972001496E-2</v>
      </c>
      <c r="AK29" s="181">
        <f t="shared" si="64"/>
        <v>9.5361936837090155E-2</v>
      </c>
      <c r="AL29" s="181">
        <f t="shared" si="65"/>
        <v>0.17390961537685498</v>
      </c>
      <c r="AM29" s="181">
        <f t="shared" si="66"/>
        <v>0.41408722187362346</v>
      </c>
      <c r="AN29" s="136">
        <f t="shared" si="45"/>
        <v>0.38786520725769708</v>
      </c>
      <c r="AO29" s="77">
        <f t="shared" si="46"/>
        <v>0.9235258544315782</v>
      </c>
      <c r="AP29" s="77">
        <f t="shared" si="47"/>
        <v>1.6842152273936337</v>
      </c>
      <c r="AQ29" s="77">
        <f t="shared" si="48"/>
        <v>3.0714688912856469</v>
      </c>
      <c r="AR29" s="337">
        <f t="shared" si="49"/>
        <v>7.3133162735578114</v>
      </c>
    </row>
    <row r="30" spans="1:44" ht="13.4" customHeight="1" x14ac:dyDescent="0.35">
      <c r="D30" s="71"/>
      <c r="E30" s="60" t="s">
        <v>5</v>
      </c>
      <c r="F30" s="329">
        <f t="shared" si="50"/>
        <v>40.372664960573736</v>
      </c>
      <c r="G30" s="405">
        <f t="shared" si="51"/>
        <v>66.544498553454005</v>
      </c>
      <c r="H30" s="77">
        <f t="shared" si="14"/>
        <v>3.0417282971094446</v>
      </c>
      <c r="I30" s="77">
        <f t="shared" si="15"/>
        <v>1.1457963597141492</v>
      </c>
      <c r="J30" s="136">
        <f t="shared" si="27"/>
        <v>1.5733311785224724</v>
      </c>
      <c r="K30" s="329">
        <f t="shared" si="28"/>
        <v>2.4408720986163379</v>
      </c>
      <c r="L30" s="329">
        <f t="shared" si="29"/>
        <v>3.0417282971094446</v>
      </c>
      <c r="M30" s="329">
        <f t="shared" si="30"/>
        <v>3.6425844956025513</v>
      </c>
      <c r="N30" s="78">
        <f t="shared" si="31"/>
        <v>4.5101254156964163</v>
      </c>
      <c r="O30" s="136">
        <f t="shared" si="16"/>
        <v>4.8226866957287147</v>
      </c>
      <c r="P30" s="181">
        <f t="shared" si="17"/>
        <v>11.483050729965365</v>
      </c>
      <c r="Q30" s="77">
        <f t="shared" si="18"/>
        <v>20.941404946637686</v>
      </c>
      <c r="R30" s="77">
        <f t="shared" si="19"/>
        <v>38.190412239029101</v>
      </c>
      <c r="S30" s="78">
        <f t="shared" si="20"/>
        <v>90.93322224880643</v>
      </c>
      <c r="T30" s="136">
        <f t="shared" si="52"/>
        <v>4.5610757200373255</v>
      </c>
      <c r="U30" s="77">
        <f t="shared" si="53"/>
        <v>10.860142319174223</v>
      </c>
      <c r="V30" s="77">
        <f t="shared" si="54"/>
        <v>19.805419607741321</v>
      </c>
      <c r="W30" s="77">
        <f t="shared" si="55"/>
        <v>36.118738991675613</v>
      </c>
      <c r="X30" s="78">
        <f t="shared" si="56"/>
        <v>86.000467853555875</v>
      </c>
      <c r="Y30" s="136">
        <f t="shared" si="21"/>
        <v>0.26161097569138914</v>
      </c>
      <c r="Z30" s="77">
        <f t="shared" si="22"/>
        <v>0.62290841079114223</v>
      </c>
      <c r="AA30" s="77">
        <f t="shared" si="23"/>
        <v>1.135985338896365</v>
      </c>
      <c r="AB30" s="77">
        <f t="shared" si="24"/>
        <v>2.0716732473534876</v>
      </c>
      <c r="AC30" s="77">
        <f t="shared" si="25"/>
        <v>4.932754395250555</v>
      </c>
      <c r="AD30" s="191">
        <f t="shared" si="57"/>
        <v>0.29598074405581887</v>
      </c>
      <c r="AE30" s="181">
        <f t="shared" si="58"/>
        <v>0.70474449482609502</v>
      </c>
      <c r="AF30" s="181">
        <f t="shared" si="59"/>
        <v>1.285228132934616</v>
      </c>
      <c r="AG30" s="181">
        <f t="shared" si="60"/>
        <v>2.3438442808896363</v>
      </c>
      <c r="AH30" s="181">
        <f t="shared" si="61"/>
        <v>5.5808068155105515</v>
      </c>
      <c r="AI30" s="191">
        <f t="shared" si="62"/>
        <v>2.6161097569138914E-2</v>
      </c>
      <c r="AJ30" s="181">
        <f t="shared" si="63"/>
        <v>6.2290841079114222E-2</v>
      </c>
      <c r="AK30" s="181">
        <f t="shared" si="64"/>
        <v>0.1135985338896365</v>
      </c>
      <c r="AL30" s="181">
        <f t="shared" si="65"/>
        <v>0.20716732473534877</v>
      </c>
      <c r="AM30" s="181">
        <f t="shared" si="66"/>
        <v>0.49327543952505548</v>
      </c>
      <c r="AN30" s="136">
        <f t="shared" si="45"/>
        <v>0.32214184162495779</v>
      </c>
      <c r="AO30" s="77">
        <f t="shared" si="46"/>
        <v>0.76703533590520923</v>
      </c>
      <c r="AP30" s="77">
        <f t="shared" si="47"/>
        <v>1.3988266668242526</v>
      </c>
      <c r="AQ30" s="77">
        <f t="shared" si="48"/>
        <v>2.5510116056249852</v>
      </c>
      <c r="AR30" s="337">
        <f t="shared" si="49"/>
        <v>6.0740822550356066</v>
      </c>
    </row>
    <row r="31" spans="1:44" ht="13.4" customHeight="1" x14ac:dyDescent="0.35">
      <c r="D31" s="71"/>
      <c r="E31" s="60" t="s">
        <v>6</v>
      </c>
      <c r="F31" s="329">
        <f t="shared" si="50"/>
        <v>60.746382828986398</v>
      </c>
      <c r="G31" s="405">
        <f t="shared" si="51"/>
        <v>100.12560697290176</v>
      </c>
      <c r="H31" s="77">
        <f t="shared" si="14"/>
        <v>3.4502828895711808</v>
      </c>
      <c r="I31" s="77">
        <f t="shared" si="15"/>
        <v>1.1457963597141492</v>
      </c>
      <c r="J31" s="136">
        <f t="shared" si="27"/>
        <v>1.9818857709842086</v>
      </c>
      <c r="K31" s="329">
        <f t="shared" si="28"/>
        <v>2.8494266910780741</v>
      </c>
      <c r="L31" s="329">
        <f t="shared" si="29"/>
        <v>3.4502828895711808</v>
      </c>
      <c r="M31" s="329">
        <f t="shared" si="30"/>
        <v>4.0511390880642875</v>
      </c>
      <c r="N31" s="78">
        <f t="shared" si="31"/>
        <v>4.9186800081581534</v>
      </c>
      <c r="O31" s="136">
        <f t="shared" si="16"/>
        <v>7.2564140259031511</v>
      </c>
      <c r="P31" s="181">
        <f t="shared" si="17"/>
        <v>17.277873441556306</v>
      </c>
      <c r="Q31" s="77">
        <f t="shared" si="18"/>
        <v>31.509304701772265</v>
      </c>
      <c r="R31" s="77">
        <f t="shared" si="19"/>
        <v>57.462875055050645</v>
      </c>
      <c r="S31" s="78">
        <f t="shared" si="20"/>
        <v>136.82189015745382</v>
      </c>
      <c r="T31" s="136">
        <f t="shared" si="52"/>
        <v>6.4963711078928688</v>
      </c>
      <c r="U31" s="181">
        <f t="shared" si="53"/>
        <v>15.468174422088024</v>
      </c>
      <c r="V31" s="77">
        <f t="shared" si="54"/>
        <v>28.208993583288446</v>
      </c>
      <c r="W31" s="77">
        <f t="shared" si="55"/>
        <v>51.444165113997471</v>
      </c>
      <c r="X31" s="78">
        <f t="shared" si="56"/>
        <v>122.49105012107502</v>
      </c>
      <c r="Y31" s="136">
        <f t="shared" si="21"/>
        <v>0.76004291801028234</v>
      </c>
      <c r="Z31" s="77">
        <f t="shared" si="22"/>
        <v>1.8096990194682814</v>
      </c>
      <c r="AA31" s="77">
        <f t="shared" si="23"/>
        <v>3.300311118483819</v>
      </c>
      <c r="AB31" s="77">
        <f t="shared" si="24"/>
        <v>6.0187099410531744</v>
      </c>
      <c r="AC31" s="77">
        <f t="shared" si="25"/>
        <v>14.330840036378802</v>
      </c>
      <c r="AD31" s="191">
        <f t="shared" si="57"/>
        <v>0.38707310119624661</v>
      </c>
      <c r="AE31" s="181">
        <f t="shared" si="58"/>
        <v>0.92163981151379859</v>
      </c>
      <c r="AF31" s="181">
        <f t="shared" si="59"/>
        <v>1.6807756894679764</v>
      </c>
      <c r="AG31" s="181">
        <f t="shared" si="60"/>
        <v>3.0651962762616147</v>
      </c>
      <c r="AH31" s="181">
        <f t="shared" si="61"/>
        <v>7.2983808732146196</v>
      </c>
      <c r="AI31" s="191">
        <f t="shared" si="62"/>
        <v>7.6004291801028231E-2</v>
      </c>
      <c r="AJ31" s="181">
        <f t="shared" si="63"/>
        <v>0.18096990194682813</v>
      </c>
      <c r="AK31" s="181">
        <f t="shared" si="64"/>
        <v>0.33003111184838191</v>
      </c>
      <c r="AL31" s="181">
        <f t="shared" si="65"/>
        <v>0.60187099410531741</v>
      </c>
      <c r="AM31" s="181">
        <f t="shared" si="66"/>
        <v>1.4330840036378802</v>
      </c>
      <c r="AN31" s="136">
        <f t="shared" si="45"/>
        <v>0.46307739299727485</v>
      </c>
      <c r="AO31" s="77">
        <f t="shared" si="46"/>
        <v>1.1026097134606268</v>
      </c>
      <c r="AP31" s="77">
        <f t="shared" si="47"/>
        <v>2.0108068013163582</v>
      </c>
      <c r="AQ31" s="77">
        <f t="shared" si="48"/>
        <v>3.6670672703669323</v>
      </c>
      <c r="AR31" s="337">
        <f t="shared" si="49"/>
        <v>8.7314648768524989</v>
      </c>
    </row>
    <row r="32" spans="1:44" ht="13.4" customHeight="1" x14ac:dyDescent="0.35">
      <c r="A32" s="73"/>
      <c r="D32" s="71"/>
      <c r="E32" s="60" t="s">
        <v>7</v>
      </c>
      <c r="F32" s="329">
        <f t="shared" si="50"/>
        <v>50.373798585980857</v>
      </c>
      <c r="G32" s="405">
        <f t="shared" si="51"/>
        <v>83.028929856632132</v>
      </c>
      <c r="H32" s="77">
        <f t="shared" si="14"/>
        <v>3.263046521605538</v>
      </c>
      <c r="I32" s="77">
        <f t="shared" si="15"/>
        <v>1.1457963597141492</v>
      </c>
      <c r="J32" s="136">
        <f t="shared" si="27"/>
        <v>1.7946494030185658</v>
      </c>
      <c r="K32" s="329">
        <f t="shared" si="28"/>
        <v>2.6621903231124313</v>
      </c>
      <c r="L32" s="329">
        <f t="shared" si="29"/>
        <v>3.263046521605538</v>
      </c>
      <c r="M32" s="329">
        <f t="shared" si="30"/>
        <v>3.8639027200986447</v>
      </c>
      <c r="N32" s="78">
        <f t="shared" si="31"/>
        <v>4.7314436401925102</v>
      </c>
      <c r="O32" s="136">
        <f t="shared" si="16"/>
        <v>6.0173646820483633</v>
      </c>
      <c r="P32" s="181">
        <f t="shared" si="17"/>
        <v>14.327636909497082</v>
      </c>
      <c r="Q32" s="77">
        <f t="shared" si="18"/>
        <v>26.129018629797162</v>
      </c>
      <c r="R32" s="77">
        <f t="shared" si="19"/>
        <v>47.650957298041384</v>
      </c>
      <c r="S32" s="78">
        <f t="shared" si="20"/>
        <v>113.45923849240286</v>
      </c>
      <c r="T32" s="136">
        <f t="shared" si="52"/>
        <v>5.9412846876820371</v>
      </c>
      <c r="U32" s="77">
        <f t="shared" si="53"/>
        <v>14.146486756073733</v>
      </c>
      <c r="V32" s="77">
        <f t="shared" si="54"/>
        <v>25.798658797014699</v>
      </c>
      <c r="W32" s="77">
        <f t="shared" si="55"/>
        <v>47.048486822286378</v>
      </c>
      <c r="X32" s="78">
        <f t="shared" si="56"/>
        <v>112.02472709390619</v>
      </c>
      <c r="Y32" s="136">
        <f t="shared" si="21"/>
        <v>7.6079994366326176E-2</v>
      </c>
      <c r="Z32" s="77">
        <f t="shared" si="22"/>
        <v>0.18115015342334928</v>
      </c>
      <c r="AA32" s="77">
        <f t="shared" si="23"/>
        <v>0.33035983278246306</v>
      </c>
      <c r="AB32" s="77">
        <f t="shared" si="24"/>
        <v>0.60247047575500545</v>
      </c>
      <c r="AC32" s="77">
        <f t="shared" si="25"/>
        <v>1.4345113984966673</v>
      </c>
      <c r="AD32" s="191">
        <f t="shared" si="57"/>
        <v>0.34874158618385925</v>
      </c>
      <c r="AE32" s="181">
        <f t="shared" si="58"/>
        <v>0.83037061672378465</v>
      </c>
      <c r="AF32" s="181">
        <f t="shared" si="59"/>
        <v>1.5143299241223938</v>
      </c>
      <c r="AG32" s="181">
        <f t="shared" si="60"/>
        <v>2.7616525355151693</v>
      </c>
      <c r="AH32" s="181">
        <f t="shared" si="61"/>
        <v>6.5756285167652626</v>
      </c>
      <c r="AI32" s="191">
        <f t="shared" si="62"/>
        <v>7.6079994366326179E-3</v>
      </c>
      <c r="AJ32" s="181">
        <f t="shared" si="63"/>
        <v>1.8115015342334929E-2</v>
      </c>
      <c r="AK32" s="181">
        <f t="shared" si="64"/>
        <v>3.3035983278246306E-2</v>
      </c>
      <c r="AL32" s="181">
        <f t="shared" si="65"/>
        <v>6.0247047575500548E-2</v>
      </c>
      <c r="AM32" s="181">
        <f t="shared" si="66"/>
        <v>0.14345113984966673</v>
      </c>
      <c r="AN32" s="136">
        <f t="shared" si="45"/>
        <v>0.35634958562049185</v>
      </c>
      <c r="AO32" s="77">
        <f t="shared" si="46"/>
        <v>0.8484856320661196</v>
      </c>
      <c r="AP32" s="77">
        <f t="shared" si="47"/>
        <v>1.5473659074006401</v>
      </c>
      <c r="AQ32" s="77">
        <f t="shared" si="48"/>
        <v>2.8218995830906697</v>
      </c>
      <c r="AR32" s="337">
        <f t="shared" si="49"/>
        <v>6.7190796566149293</v>
      </c>
    </row>
    <row r="33" spans="1:49" ht="13.4" customHeight="1" x14ac:dyDescent="0.35">
      <c r="A33" s="73"/>
      <c r="D33" s="71"/>
      <c r="E33" s="60" t="s">
        <v>8</v>
      </c>
      <c r="F33" s="329">
        <f t="shared" si="50"/>
        <v>44.606036285095527</v>
      </c>
      <c r="G33" s="405">
        <f t="shared" si="51"/>
        <v>73.52217942381462</v>
      </c>
      <c r="H33" s="77">
        <f t="shared" si="14"/>
        <v>3.1414445436160676</v>
      </c>
      <c r="I33" s="77">
        <f t="shared" si="15"/>
        <v>1.1457963597141492</v>
      </c>
      <c r="J33" s="136">
        <f t="shared" si="27"/>
        <v>1.6730474250290954</v>
      </c>
      <c r="K33" s="329">
        <f t="shared" si="28"/>
        <v>2.5405883451229609</v>
      </c>
      <c r="L33" s="329">
        <f t="shared" si="29"/>
        <v>3.1414445436160676</v>
      </c>
      <c r="M33" s="329">
        <f t="shared" si="30"/>
        <v>3.7423007421091743</v>
      </c>
      <c r="N33" s="78">
        <f t="shared" si="31"/>
        <v>4.6098416622030403</v>
      </c>
      <c r="O33" s="136">
        <f t="shared" si="16"/>
        <v>5.3283809218787193</v>
      </c>
      <c r="P33" s="181">
        <f t="shared" si="17"/>
        <v>12.687133188374711</v>
      </c>
      <c r="Q33" s="77">
        <f t="shared" si="18"/>
        <v>23.13726551920255</v>
      </c>
      <c r="R33" s="77">
        <f t="shared" si="19"/>
        <v>42.194958290231234</v>
      </c>
      <c r="S33" s="78">
        <f t="shared" si="20"/>
        <v>100.468240457052</v>
      </c>
      <c r="T33" s="136">
        <f t="shared" si="52"/>
        <v>5.1431826477624076</v>
      </c>
      <c r="U33" s="77">
        <f t="shared" si="53"/>
        <v>12.246167122993949</v>
      </c>
      <c r="V33" s="77">
        <f t="shared" si="54"/>
        <v>22.333084717426026</v>
      </c>
      <c r="W33" s="77">
        <f t="shared" si="55"/>
        <v>40.728390196408597</v>
      </c>
      <c r="X33" s="78">
        <f t="shared" si="56"/>
        <v>96.976270755758918</v>
      </c>
      <c r="Y33" s="136">
        <f t="shared" si="21"/>
        <v>0.18519827411631162</v>
      </c>
      <c r="Z33" s="77">
        <f t="shared" si="22"/>
        <v>0.44096606538076166</v>
      </c>
      <c r="AA33" s="77">
        <f t="shared" si="23"/>
        <v>0.80418080177652485</v>
      </c>
      <c r="AB33" s="77">
        <f t="shared" si="24"/>
        <v>1.4665680938226373</v>
      </c>
      <c r="AC33" s="77">
        <f t="shared" si="25"/>
        <v>3.4919697012930868</v>
      </c>
      <c r="AD33" s="191">
        <f t="shared" si="57"/>
        <v>0.29051577127408479</v>
      </c>
      <c r="AE33" s="181">
        <f t="shared" si="58"/>
        <v>0.69173212980016197</v>
      </c>
      <c r="AF33" s="181">
        <f t="shared" si="59"/>
        <v>1.2614977487597518</v>
      </c>
      <c r="AG33" s="181">
        <f t="shared" si="60"/>
        <v>2.3005676642281503</v>
      </c>
      <c r="AH33" s="181">
        <f t="shared" si="61"/>
        <v>5.4777630940543736</v>
      </c>
      <c r="AI33" s="191">
        <f t="shared" si="62"/>
        <v>1.8519827411631162E-2</v>
      </c>
      <c r="AJ33" s="181">
        <f t="shared" si="63"/>
        <v>4.4096606538076163E-2</v>
      </c>
      <c r="AK33" s="181">
        <f t="shared" si="64"/>
        <v>8.0418080177652479E-2</v>
      </c>
      <c r="AL33" s="181">
        <f t="shared" si="65"/>
        <v>0.14665680938226372</v>
      </c>
      <c r="AM33" s="181">
        <f t="shared" si="66"/>
        <v>0.34919697012930867</v>
      </c>
      <c r="AN33" s="136">
        <f t="shared" si="45"/>
        <v>0.30903559868571595</v>
      </c>
      <c r="AO33" s="77">
        <f t="shared" si="46"/>
        <v>0.73582873633823809</v>
      </c>
      <c r="AP33" s="77">
        <f t="shared" si="47"/>
        <v>1.3419158289374042</v>
      </c>
      <c r="AQ33" s="77">
        <f t="shared" si="48"/>
        <v>2.4472244736104138</v>
      </c>
      <c r="AR33" s="337">
        <f t="shared" si="49"/>
        <v>5.8269600641836821</v>
      </c>
    </row>
    <row r="34" spans="1:49" ht="13.4" customHeight="1" thickBot="1" x14ac:dyDescent="0.4">
      <c r="A34" s="73"/>
      <c r="D34" s="67"/>
      <c r="E34" s="88" t="s">
        <v>9</v>
      </c>
      <c r="F34" s="79">
        <f t="shared" si="50"/>
        <v>26.881270384938741</v>
      </c>
      <c r="G34" s="405">
        <f t="shared" si="51"/>
        <v>44.307222720928387</v>
      </c>
      <c r="H34" s="79">
        <f t="shared" si="14"/>
        <v>2.6350051269155155</v>
      </c>
      <c r="I34" s="79">
        <f t="shared" si="15"/>
        <v>1.1457963597141492</v>
      </c>
      <c r="J34" s="137">
        <f t="shared" si="27"/>
        <v>1.1666080083285433</v>
      </c>
      <c r="K34" s="79">
        <f t="shared" si="28"/>
        <v>2.0341489284224088</v>
      </c>
      <c r="L34" s="79">
        <f t="shared" si="29"/>
        <v>2.6350051269155155</v>
      </c>
      <c r="M34" s="79">
        <f t="shared" si="30"/>
        <v>3.2358613254086221</v>
      </c>
      <c r="N34" s="80">
        <f t="shared" si="31"/>
        <v>4.1034022455024877</v>
      </c>
      <c r="O34" s="137">
        <f t="shared" si="16"/>
        <v>3.2110821808847976</v>
      </c>
      <c r="P34" s="182">
        <f t="shared" si="17"/>
        <v>7.6457422817545035</v>
      </c>
      <c r="Q34" s="79">
        <f t="shared" si="18"/>
        <v>13.943383949531119</v>
      </c>
      <c r="R34" s="79">
        <f t="shared" si="19"/>
        <v>25.428264359366825</v>
      </c>
      <c r="S34" s="80">
        <f t="shared" si="20"/>
        <v>60.545929693543734</v>
      </c>
      <c r="T34" s="137">
        <f t="shared" si="52"/>
        <v>3.1891208681058765</v>
      </c>
      <c r="U34" s="79">
        <f t="shared" si="53"/>
        <v>7.5934513317825019</v>
      </c>
      <c r="V34" s="79">
        <f t="shared" si="54"/>
        <v>13.848022012694029</v>
      </c>
      <c r="W34" s="79">
        <f t="shared" si="55"/>
        <v>25.254354743989971</v>
      </c>
      <c r="X34" s="80">
        <f t="shared" si="56"/>
        <v>60.131842471670112</v>
      </c>
      <c r="Y34" s="137">
        <f t="shared" si="21"/>
        <v>2.1961312778921105E-2</v>
      </c>
      <c r="Z34" s="79">
        <f t="shared" si="22"/>
        <v>5.2290949972001677E-2</v>
      </c>
      <c r="AA34" s="79">
        <f t="shared" si="23"/>
        <v>9.5361936837090155E-2</v>
      </c>
      <c r="AB34" s="79">
        <f t="shared" si="24"/>
        <v>0.17390961537685357</v>
      </c>
      <c r="AC34" s="79">
        <f t="shared" si="25"/>
        <v>0.41408722187362201</v>
      </c>
      <c r="AD34" s="207">
        <f t="shared" si="57"/>
        <v>0.18013941408188877</v>
      </c>
      <c r="AE34" s="182">
        <f t="shared" si="58"/>
        <v>0.4289206744864037</v>
      </c>
      <c r="AF34" s="182">
        <f t="shared" si="59"/>
        <v>0.78221386856416331</v>
      </c>
      <c r="AG34" s="182">
        <f t="shared" si="60"/>
        <v>1.4265074466432823</v>
      </c>
      <c r="AH34" s="182">
        <f t="shared" si="61"/>
        <v>3.3965833590197656</v>
      </c>
      <c r="AI34" s="207">
        <f t="shared" si="62"/>
        <v>2.1961312778921104E-3</v>
      </c>
      <c r="AJ34" s="182">
        <f t="shared" si="63"/>
        <v>5.229094997200168E-3</v>
      </c>
      <c r="AK34" s="182">
        <f t="shared" si="64"/>
        <v>9.5361936837090149E-3</v>
      </c>
      <c r="AL34" s="182">
        <f t="shared" si="65"/>
        <v>1.7390961537685358E-2</v>
      </c>
      <c r="AM34" s="208">
        <f t="shared" si="66"/>
        <v>4.1408722187362204E-2</v>
      </c>
      <c r="AN34" s="137">
        <f t="shared" si="45"/>
        <v>0.18233554535978089</v>
      </c>
      <c r="AO34" s="79">
        <f t="shared" si="46"/>
        <v>0.43414976948360384</v>
      </c>
      <c r="AP34" s="79">
        <f t="shared" si="47"/>
        <v>0.79175006224787237</v>
      </c>
      <c r="AQ34" s="79">
        <f t="shared" si="48"/>
        <v>1.4438984081809676</v>
      </c>
      <c r="AR34" s="339">
        <f t="shared" si="49"/>
        <v>3.4379920812071276</v>
      </c>
    </row>
    <row r="35" spans="1:49" ht="10.5" customHeight="1" x14ac:dyDescent="0.35">
      <c r="A35" s="64"/>
      <c r="B35" s="64"/>
      <c r="C35" s="64"/>
      <c r="D35" s="64"/>
      <c r="E35" s="64"/>
      <c r="F35" s="81"/>
      <c r="G35" s="359"/>
      <c r="H35" s="64"/>
      <c r="I35" s="64"/>
      <c r="J35" s="64"/>
    </row>
    <row r="36" spans="1:49" ht="13.4" customHeight="1" x14ac:dyDescent="0.35">
      <c r="A36" s="64"/>
      <c r="B36" s="64"/>
      <c r="C36" s="64"/>
      <c r="D36" s="64"/>
      <c r="E36" s="64"/>
      <c r="F36" s="81"/>
      <c r="G36" s="64"/>
      <c r="H36" s="64"/>
      <c r="I36" s="64"/>
      <c r="J36" s="64"/>
      <c r="S36" s="1026"/>
      <c r="T36" s="1026"/>
      <c r="U36" s="1026"/>
      <c r="V36" s="1026"/>
      <c r="W36" s="1026"/>
      <c r="X36" s="1026"/>
      <c r="Y36" s="1026"/>
      <c r="Z36" s="1026"/>
      <c r="AA36" s="1026"/>
      <c r="AW36" s="63"/>
    </row>
    <row r="37" spans="1:49" ht="13.4" customHeight="1" x14ac:dyDescent="0.35">
      <c r="A37" s="64"/>
      <c r="B37" s="64"/>
      <c r="C37" s="64"/>
      <c r="D37" s="64"/>
      <c r="E37" s="64"/>
      <c r="F37" s="81"/>
      <c r="G37" s="64"/>
      <c r="H37" s="64"/>
      <c r="I37" s="64"/>
      <c r="J37" s="64"/>
      <c r="S37" s="47"/>
      <c r="T37" s="47"/>
      <c r="U37" s="77"/>
      <c r="V37" s="77"/>
      <c r="W37" s="47"/>
      <c r="X37" s="47"/>
      <c r="Y37" s="47"/>
      <c r="Z37" s="47"/>
      <c r="AA37" s="47"/>
      <c r="AW37" s="63"/>
    </row>
    <row r="38" spans="1:49" ht="13.4" customHeight="1" x14ac:dyDescent="0.35">
      <c r="A38" s="60"/>
      <c r="B38" s="81"/>
      <c r="C38" s="81"/>
      <c r="D38" s="81"/>
      <c r="E38" s="81"/>
      <c r="F38" s="353"/>
      <c r="G38" s="81"/>
      <c r="H38" s="81"/>
      <c r="I38" s="82"/>
      <c r="J38" s="82"/>
      <c r="S38" s="47"/>
      <c r="T38" s="47"/>
      <c r="U38" s="303"/>
      <c r="V38" s="303"/>
      <c r="W38" s="47"/>
      <c r="X38" s="47"/>
      <c r="Y38" s="47"/>
      <c r="Z38" s="47"/>
      <c r="AA38" s="47"/>
      <c r="AW38" s="63"/>
    </row>
    <row r="39" spans="1:49" x14ac:dyDescent="0.35">
      <c r="A39" s="60"/>
      <c r="B39" s="81"/>
      <c r="C39" s="81"/>
      <c r="D39" s="81"/>
      <c r="E39" s="81"/>
      <c r="F39" s="353"/>
      <c r="G39" s="81"/>
      <c r="H39" s="81"/>
      <c r="I39" s="82"/>
      <c r="J39" s="82"/>
      <c r="S39" s="47"/>
      <c r="T39" s="47"/>
      <c r="U39" s="303"/>
      <c r="V39" s="303"/>
      <c r="W39" s="47"/>
      <c r="X39" s="47"/>
      <c r="Y39" s="47"/>
      <c r="Z39" s="47"/>
      <c r="AA39" s="47"/>
      <c r="AK39" s="63"/>
      <c r="AL39" s="63"/>
      <c r="AM39" s="63"/>
      <c r="AN39" s="63"/>
      <c r="AO39" s="63"/>
      <c r="AP39" s="63"/>
      <c r="AQ39" s="63"/>
      <c r="AR39" s="340"/>
      <c r="AS39" s="63"/>
      <c r="AT39" s="63"/>
      <c r="AU39" s="63"/>
      <c r="AV39" s="63"/>
      <c r="AW39" s="63"/>
    </row>
    <row r="40" spans="1:49" x14ac:dyDescent="0.35">
      <c r="A40" s="60"/>
      <c r="B40" s="81"/>
      <c r="C40" s="81"/>
      <c r="D40" s="81"/>
      <c r="E40" s="81"/>
      <c r="F40" s="81"/>
      <c r="G40" s="81"/>
      <c r="H40" s="81"/>
      <c r="I40" s="82"/>
      <c r="J40" s="82"/>
      <c r="K40" s="77"/>
      <c r="L40" s="77"/>
      <c r="M40" s="77"/>
      <c r="N40" s="77"/>
      <c r="O40" s="77"/>
      <c r="P40" s="77"/>
      <c r="Q40" s="77"/>
      <c r="S40" s="47"/>
      <c r="T40" s="47"/>
      <c r="U40" s="303"/>
      <c r="V40" s="303"/>
      <c r="W40" s="47"/>
      <c r="X40" s="47"/>
      <c r="Y40" s="47"/>
      <c r="Z40" s="47"/>
      <c r="AA40" s="47"/>
      <c r="AK40" s="63"/>
      <c r="AL40" s="63"/>
      <c r="AM40" s="63"/>
      <c r="AN40" s="63"/>
      <c r="AO40" s="63"/>
      <c r="AP40" s="63"/>
      <c r="AQ40" s="63"/>
      <c r="AR40" s="340"/>
      <c r="AS40" s="63"/>
      <c r="AT40" s="63"/>
      <c r="AU40" s="63"/>
      <c r="AV40" s="63"/>
      <c r="AW40" s="63"/>
    </row>
    <row r="41" spans="1:49" x14ac:dyDescent="0.35">
      <c r="A41" s="60"/>
      <c r="B41" s="81"/>
      <c r="C41" s="81"/>
      <c r="D41" s="81"/>
      <c r="E41" s="81"/>
      <c r="F41" s="81"/>
      <c r="G41" s="81"/>
      <c r="H41" s="81"/>
      <c r="I41" s="82"/>
      <c r="J41" s="82"/>
      <c r="K41" s="77"/>
      <c r="L41" s="77"/>
      <c r="M41" s="239"/>
      <c r="N41" s="77"/>
      <c r="O41" s="77"/>
      <c r="P41" s="77"/>
      <c r="Q41"/>
      <c r="R41"/>
      <c r="S41" s="47"/>
      <c r="T41" s="304"/>
      <c r="U41" s="303"/>
      <c r="V41" s="303"/>
      <c r="W41" s="304"/>
      <c r="X41" s="304"/>
      <c r="Y41" s="304"/>
      <c r="Z41" s="304"/>
      <c r="AA41" s="47"/>
      <c r="AC41" s="64"/>
      <c r="AD41" s="64"/>
      <c r="AE41" s="64"/>
      <c r="AF41" s="64"/>
      <c r="AK41" s="63"/>
      <c r="AL41" s="63"/>
      <c r="AM41" s="63"/>
      <c r="AN41" s="63"/>
      <c r="AO41" s="63"/>
      <c r="AP41" s="63"/>
      <c r="AQ41" s="63"/>
      <c r="AR41" s="340"/>
      <c r="AS41" s="63"/>
      <c r="AT41" s="63"/>
      <c r="AU41" s="63"/>
      <c r="AV41" s="63"/>
      <c r="AW41" s="63"/>
    </row>
    <row r="42" spans="1:49" x14ac:dyDescent="0.35">
      <c r="A42" s="60"/>
      <c r="B42" s="81"/>
      <c r="C42" s="81"/>
      <c r="D42" s="81"/>
      <c r="E42" s="81"/>
      <c r="F42" s="81"/>
      <c r="G42" s="81"/>
      <c r="H42" s="81"/>
      <c r="I42" s="82"/>
      <c r="J42" s="82"/>
      <c r="K42" s="77"/>
      <c r="L42" s="77"/>
      <c r="M42" s="77"/>
      <c r="N42" s="77"/>
      <c r="O42" s="77"/>
      <c r="P42" s="77"/>
      <c r="Q42"/>
      <c r="R42"/>
      <c r="S42" s="47"/>
      <c r="T42" s="304"/>
      <c r="U42" s="303"/>
      <c r="V42" s="303"/>
      <c r="W42" s="304"/>
      <c r="X42" s="304"/>
      <c r="Y42" s="304"/>
      <c r="Z42" s="304"/>
      <c r="AA42" s="47"/>
      <c r="AC42" s="64"/>
      <c r="AD42" s="64"/>
      <c r="AE42" s="64"/>
      <c r="AF42" s="64"/>
      <c r="AK42" s="63"/>
      <c r="AL42" s="63"/>
      <c r="AM42" s="63"/>
      <c r="AN42" s="63"/>
      <c r="AO42" s="63"/>
      <c r="AP42" s="63"/>
      <c r="AQ42" s="63"/>
      <c r="AR42" s="340"/>
      <c r="AS42" s="63"/>
      <c r="AT42" s="63"/>
      <c r="AU42" s="63"/>
      <c r="AV42" s="63"/>
      <c r="AW42" s="63"/>
    </row>
    <row r="43" spans="1:49" ht="17.5" customHeight="1" x14ac:dyDescent="0.35">
      <c r="A43" s="60"/>
      <c r="B43" s="81"/>
      <c r="C43" s="81"/>
      <c r="D43" s="81"/>
      <c r="E43" s="81"/>
      <c r="F43" s="81"/>
      <c r="G43" s="81"/>
      <c r="H43" s="81"/>
      <c r="I43" s="82"/>
      <c r="J43" s="82"/>
      <c r="K43" s="77"/>
      <c r="L43" s="77"/>
      <c r="M43" s="77"/>
      <c r="N43" s="77"/>
      <c r="O43" s="77"/>
      <c r="P43" s="77"/>
      <c r="Q43"/>
      <c r="R43" s="185"/>
      <c r="S43" s="47"/>
      <c r="T43" s="305"/>
      <c r="U43" s="303"/>
      <c r="V43" s="303"/>
      <c r="W43" s="305"/>
      <c r="X43" s="305"/>
      <c r="Y43" s="304"/>
      <c r="Z43" s="304"/>
      <c r="AA43" s="47"/>
      <c r="AC43" s="64"/>
      <c r="AD43" s="64"/>
      <c r="AE43" s="64"/>
      <c r="AF43" s="64"/>
      <c r="AK43" s="63"/>
      <c r="AL43" s="63"/>
      <c r="AM43" s="63"/>
      <c r="AN43" s="63"/>
      <c r="AO43" s="63"/>
      <c r="AP43" s="63"/>
      <c r="AQ43" s="63"/>
      <c r="AR43" s="340"/>
      <c r="AS43" s="63"/>
      <c r="AT43" s="63"/>
      <c r="AU43" s="63"/>
      <c r="AV43" s="63"/>
      <c r="AW43" s="63"/>
    </row>
    <row r="44" spans="1:49" x14ac:dyDescent="0.35">
      <c r="A44" s="60"/>
      <c r="B44" s="81"/>
      <c r="C44" s="81"/>
      <c r="D44" s="81"/>
      <c r="E44" s="81"/>
      <c r="F44" s="81"/>
      <c r="G44" s="81"/>
      <c r="H44" s="81"/>
      <c r="I44" s="82"/>
      <c r="J44" s="82"/>
      <c r="K44" s="77"/>
      <c r="L44" s="77"/>
      <c r="M44" s="77"/>
      <c r="N44" s="77"/>
      <c r="O44" s="77"/>
      <c r="P44" s="77"/>
      <c r="Q44"/>
      <c r="R44" s="185"/>
      <c r="S44" s="47"/>
      <c r="T44" s="305"/>
      <c r="U44" s="303"/>
      <c r="V44" s="303"/>
      <c r="W44" s="305"/>
      <c r="X44" s="304"/>
      <c r="Y44" s="304"/>
      <c r="Z44" s="304"/>
      <c r="AA44" s="47"/>
      <c r="AC44" s="64"/>
      <c r="AD44" s="64"/>
      <c r="AE44" s="64"/>
      <c r="AF44" s="64"/>
      <c r="AK44" s="63"/>
      <c r="AL44" s="63"/>
      <c r="AM44" s="63"/>
      <c r="AN44" s="63"/>
      <c r="AO44" s="63"/>
      <c r="AP44" s="63"/>
      <c r="AQ44" s="63"/>
      <c r="AR44" s="340"/>
      <c r="AS44" s="63"/>
      <c r="AT44" s="63"/>
      <c r="AU44" s="63"/>
      <c r="AV44" s="63"/>
      <c r="AW44" s="63"/>
    </row>
    <row r="45" spans="1:49" x14ac:dyDescent="0.35">
      <c r="A45" s="60"/>
      <c r="B45" s="81"/>
      <c r="C45" s="81"/>
      <c r="D45" s="81"/>
      <c r="E45" s="81"/>
      <c r="F45" s="81"/>
      <c r="G45" s="81"/>
      <c r="H45" s="81"/>
      <c r="I45" s="82"/>
      <c r="J45" s="82"/>
      <c r="K45" s="77"/>
      <c r="L45" s="77"/>
      <c r="M45" s="77"/>
      <c r="N45" s="77"/>
      <c r="O45" s="77"/>
      <c r="P45" s="77"/>
      <c r="Q45"/>
      <c r="R45" s="186"/>
      <c r="S45" s="47"/>
      <c r="T45" s="306"/>
      <c r="U45" s="303"/>
      <c r="V45" s="303"/>
      <c r="W45" s="306"/>
      <c r="X45" s="305"/>
      <c r="Y45" s="304"/>
      <c r="Z45" s="304"/>
      <c r="AA45" s="47"/>
      <c r="AC45" s="64"/>
      <c r="AD45" s="64"/>
      <c r="AE45" s="64"/>
      <c r="AF45" s="64"/>
      <c r="AK45" s="63"/>
      <c r="AL45" s="63"/>
      <c r="AM45" s="63"/>
      <c r="AN45" s="63"/>
      <c r="AO45" s="63"/>
      <c r="AP45" s="63"/>
      <c r="AQ45" s="63"/>
      <c r="AR45" s="340"/>
      <c r="AS45" s="63"/>
      <c r="AT45" s="63"/>
      <c r="AU45" s="63"/>
      <c r="AV45" s="63"/>
      <c r="AW45" s="63"/>
    </row>
    <row r="46" spans="1:49" x14ac:dyDescent="0.35">
      <c r="A46" s="60"/>
      <c r="B46" s="81"/>
      <c r="C46" s="81"/>
      <c r="D46" s="81"/>
      <c r="E46" s="81"/>
      <c r="F46" s="81"/>
      <c r="G46" s="81"/>
      <c r="H46" s="81"/>
      <c r="I46" s="82"/>
      <c r="J46" s="82"/>
      <c r="K46" s="77"/>
      <c r="L46" s="77"/>
      <c r="M46" s="77"/>
      <c r="N46" s="77"/>
      <c r="O46" s="77"/>
      <c r="P46" s="77"/>
      <c r="Q46"/>
      <c r="R46" s="185"/>
      <c r="S46" s="185"/>
      <c r="T46" s="185"/>
      <c r="U46" s="185"/>
      <c r="V46" s="185"/>
      <c r="W46" s="185"/>
      <c r="X46" s="185"/>
      <c r="Y46"/>
      <c r="Z46"/>
      <c r="AC46" s="64"/>
      <c r="AD46" s="64"/>
      <c r="AE46" s="64"/>
      <c r="AF46" s="64"/>
      <c r="AK46" s="63"/>
      <c r="AL46" s="63"/>
      <c r="AM46" s="63"/>
      <c r="AN46" s="63"/>
      <c r="AO46" s="63"/>
      <c r="AP46" s="63"/>
      <c r="AQ46" s="63"/>
      <c r="AR46" s="340"/>
      <c r="AS46" s="63"/>
      <c r="AT46" s="63"/>
      <c r="AU46" s="63"/>
      <c r="AV46" s="63"/>
      <c r="AW46" s="63"/>
    </row>
    <row r="47" spans="1:49" x14ac:dyDescent="0.35">
      <c r="A47" s="60"/>
      <c r="B47" s="81"/>
      <c r="C47" s="81"/>
      <c r="D47" s="81"/>
      <c r="E47" s="81"/>
      <c r="F47" s="81"/>
      <c r="G47" s="81"/>
      <c r="H47" s="81"/>
      <c r="I47" s="82"/>
      <c r="J47" s="82"/>
      <c r="K47" s="77"/>
      <c r="L47" s="77"/>
      <c r="M47" s="77"/>
      <c r="N47" s="77"/>
      <c r="O47" s="77"/>
      <c r="P47" s="77"/>
      <c r="Q47"/>
      <c r="R47" s="187"/>
      <c r="S47" s="187"/>
      <c r="T47" s="187"/>
      <c r="U47" s="187"/>
      <c r="V47" s="187"/>
      <c r="W47" s="187"/>
      <c r="X47" s="187"/>
      <c r="Y47"/>
      <c r="Z47"/>
      <c r="AA47" s="64"/>
      <c r="AB47" s="64"/>
      <c r="AC47" s="64"/>
      <c r="AD47" s="64"/>
      <c r="AE47" s="64"/>
      <c r="AF47" s="64"/>
      <c r="AK47" s="63"/>
      <c r="AL47" s="63"/>
      <c r="AM47" s="63"/>
      <c r="AN47" s="63"/>
      <c r="AO47" s="63"/>
      <c r="AP47" s="63"/>
      <c r="AQ47" s="63"/>
      <c r="AR47" s="340"/>
      <c r="AS47" s="63"/>
      <c r="AT47" s="63"/>
      <c r="AU47" s="63"/>
      <c r="AV47" s="63"/>
      <c r="AW47" s="63"/>
    </row>
    <row r="48" spans="1:49" x14ac:dyDescent="0.35">
      <c r="A48" s="60"/>
      <c r="B48" s="81"/>
      <c r="C48" s="81"/>
      <c r="D48" s="81"/>
      <c r="E48" s="81"/>
      <c r="F48" s="81"/>
      <c r="G48" s="81"/>
      <c r="H48" s="81"/>
      <c r="I48" s="82"/>
      <c r="J48" s="82"/>
      <c r="K48" s="77"/>
      <c r="L48" s="77"/>
      <c r="M48" s="77"/>
      <c r="N48" s="77"/>
      <c r="O48" s="77"/>
      <c r="P48" s="77"/>
      <c r="Q48"/>
      <c r="R48" s="188"/>
      <c r="S48" s="188"/>
      <c r="T48" s="188"/>
      <c r="U48" s="188"/>
      <c r="V48" s="188"/>
      <c r="W48" s="188"/>
      <c r="X48" s="188"/>
      <c r="Y48" s="188"/>
      <c r="Z48"/>
      <c r="AA48" s="64"/>
      <c r="AB48" s="64"/>
      <c r="AC48" s="64"/>
      <c r="AD48" s="64"/>
      <c r="AE48" s="64"/>
      <c r="AF48" s="64"/>
      <c r="AK48" s="63"/>
      <c r="AL48" s="63"/>
      <c r="AM48" s="63"/>
      <c r="AN48" s="63"/>
      <c r="AO48" s="63"/>
      <c r="AP48" s="63"/>
      <c r="AQ48" s="63"/>
      <c r="AR48" s="340"/>
      <c r="AS48" s="63"/>
      <c r="AT48" s="63"/>
      <c r="AU48" s="63"/>
      <c r="AV48" s="63"/>
      <c r="AW48" s="63"/>
    </row>
    <row r="49" spans="1:49" x14ac:dyDescent="0.35">
      <c r="A49" s="60"/>
      <c r="B49" s="81"/>
      <c r="C49" s="81"/>
      <c r="D49" s="81"/>
      <c r="E49" s="81"/>
      <c r="F49" s="81"/>
      <c r="G49" s="81"/>
      <c r="H49" s="81"/>
      <c r="I49" s="82"/>
      <c r="J49" s="82"/>
      <c r="K49" s="77"/>
      <c r="L49" s="77"/>
      <c r="M49" s="77"/>
      <c r="N49" s="77"/>
      <c r="O49" s="77"/>
      <c r="P49" s="77"/>
      <c r="Q49"/>
      <c r="R49" s="188"/>
      <c r="S49"/>
      <c r="T49"/>
      <c r="U49"/>
      <c r="V49"/>
      <c r="W49"/>
      <c r="X49"/>
      <c r="Y49"/>
      <c r="Z49"/>
      <c r="AA49" s="64"/>
      <c r="AB49" s="64"/>
      <c r="AC49" s="64"/>
      <c r="AD49" s="64"/>
      <c r="AE49" s="64"/>
      <c r="AF49" s="64"/>
      <c r="AK49" s="63"/>
      <c r="AL49" s="63"/>
      <c r="AM49" s="63"/>
      <c r="AN49" s="63"/>
      <c r="AO49" s="63"/>
      <c r="AP49" s="63"/>
      <c r="AQ49" s="63"/>
      <c r="AR49" s="340"/>
      <c r="AS49" s="63"/>
      <c r="AT49" s="63"/>
      <c r="AU49" s="63"/>
      <c r="AV49" s="63"/>
      <c r="AW49" s="63"/>
    </row>
    <row r="50" spans="1:49" x14ac:dyDescent="0.35">
      <c r="A50" s="60"/>
      <c r="B50" s="81"/>
      <c r="C50" s="81"/>
      <c r="D50" s="81"/>
      <c r="E50" s="81"/>
      <c r="F50" s="81"/>
      <c r="G50" s="81"/>
      <c r="H50" s="81"/>
      <c r="I50" s="82"/>
      <c r="J50" s="82"/>
      <c r="K50" s="77"/>
      <c r="L50" s="77"/>
      <c r="M50" s="77"/>
      <c r="N50" s="77"/>
      <c r="O50" s="77"/>
      <c r="P50" s="77"/>
      <c r="Q50"/>
      <c r="R50"/>
      <c r="S50"/>
      <c r="T50"/>
      <c r="U50"/>
      <c r="V50"/>
      <c r="W50"/>
      <c r="X50"/>
      <c r="Y50"/>
      <c r="Z50"/>
      <c r="AA50" s="64"/>
      <c r="AB50" s="64"/>
      <c r="AC50" s="64"/>
      <c r="AD50" s="64"/>
      <c r="AE50" s="64"/>
      <c r="AF50" s="64"/>
      <c r="AK50" s="63"/>
      <c r="AL50" s="63"/>
      <c r="AM50" s="63"/>
      <c r="AN50" s="63"/>
      <c r="AO50" s="63"/>
      <c r="AP50" s="63"/>
      <c r="AQ50" s="63"/>
      <c r="AR50" s="340"/>
      <c r="AS50" s="63"/>
      <c r="AT50" s="63"/>
      <c r="AU50" s="63"/>
      <c r="AV50" s="63"/>
      <c r="AW50" s="63"/>
    </row>
    <row r="51" spans="1:49" x14ac:dyDescent="0.35">
      <c r="A51" s="60"/>
      <c r="B51" s="81"/>
      <c r="C51" s="81"/>
      <c r="D51" s="81"/>
      <c r="E51" s="81"/>
      <c r="F51" s="81"/>
      <c r="G51" s="81"/>
      <c r="H51" s="81"/>
      <c r="I51" s="82"/>
      <c r="J51" s="82"/>
      <c r="K51" s="77"/>
      <c r="L51" s="77"/>
      <c r="M51" s="77"/>
      <c r="N51" s="77"/>
      <c r="O51" s="77"/>
      <c r="P51" s="77"/>
      <c r="Q51" s="77"/>
      <c r="R51" s="77"/>
      <c r="S51" s="77"/>
      <c r="T51" s="77"/>
      <c r="U51" s="77"/>
      <c r="V51" s="77"/>
      <c r="W51" s="77"/>
      <c r="X51" s="77"/>
      <c r="Y51" s="64"/>
      <c r="Z51" s="64"/>
      <c r="AA51" s="64"/>
      <c r="AB51" s="64"/>
      <c r="AC51" s="64"/>
      <c r="AD51" s="64"/>
      <c r="AE51" s="64"/>
      <c r="AF51" s="64"/>
      <c r="AK51" s="63"/>
      <c r="AL51" s="63"/>
      <c r="AM51" s="63"/>
      <c r="AN51" s="63"/>
      <c r="AO51" s="63"/>
      <c r="AP51" s="63"/>
      <c r="AQ51" s="63"/>
      <c r="AR51" s="340"/>
      <c r="AS51" s="63"/>
      <c r="AT51" s="63"/>
      <c r="AU51" s="63"/>
      <c r="AV51" s="63"/>
      <c r="AW51" s="63"/>
    </row>
    <row r="52" spans="1:49" x14ac:dyDescent="0.35">
      <c r="A52" s="60"/>
      <c r="B52" s="81"/>
      <c r="C52" s="81"/>
      <c r="D52" s="81"/>
      <c r="E52" s="81"/>
      <c r="F52" s="81"/>
      <c r="G52" s="81"/>
      <c r="H52" s="81"/>
      <c r="I52" s="82"/>
      <c r="J52" s="82"/>
      <c r="K52" s="77"/>
      <c r="L52" s="77"/>
      <c r="M52" s="77"/>
      <c r="N52" s="77"/>
      <c r="O52" s="77"/>
      <c r="P52" s="77"/>
      <c r="Q52" s="77"/>
      <c r="R52" s="77"/>
      <c r="S52" s="77"/>
      <c r="T52" s="77"/>
      <c r="U52" s="77"/>
      <c r="V52" s="77"/>
      <c r="W52" s="77"/>
      <c r="X52" s="77"/>
    </row>
    <row r="53" spans="1:49" x14ac:dyDescent="0.35">
      <c r="A53" s="60"/>
      <c r="B53" s="81"/>
      <c r="C53" s="81"/>
      <c r="D53" s="81"/>
      <c r="E53" s="81"/>
      <c r="F53" s="81"/>
      <c r="G53" s="81"/>
      <c r="H53" s="81"/>
      <c r="I53" s="82"/>
      <c r="J53" s="82"/>
      <c r="K53" s="77"/>
      <c r="L53" s="77"/>
      <c r="M53" s="77"/>
      <c r="N53" s="77"/>
      <c r="O53" s="77"/>
      <c r="P53" s="77"/>
      <c r="Q53" s="77"/>
      <c r="R53" s="77"/>
      <c r="S53" s="77"/>
      <c r="T53" s="77"/>
      <c r="U53" s="77"/>
      <c r="V53" s="77"/>
      <c r="W53" s="77"/>
      <c r="X53" s="77"/>
    </row>
  </sheetData>
  <mergeCells count="48">
    <mergeCell ref="S36:AA36"/>
    <mergeCell ref="A22:B22"/>
    <mergeCell ref="A23:B23"/>
    <mergeCell ref="A1:C1"/>
    <mergeCell ref="L4:M4"/>
    <mergeCell ref="R2:AC2"/>
    <mergeCell ref="A21:B21"/>
    <mergeCell ref="A19:B19"/>
    <mergeCell ref="A20:B20"/>
    <mergeCell ref="A16:B16"/>
    <mergeCell ref="V4:W4"/>
    <mergeCell ref="A17:B17"/>
    <mergeCell ref="A18:B18"/>
    <mergeCell ref="P4:Q4"/>
    <mergeCell ref="R4:S4"/>
    <mergeCell ref="T4:U4"/>
    <mergeCell ref="A2:C2"/>
    <mergeCell ref="A4:C4"/>
    <mergeCell ref="D4:E4"/>
    <mergeCell ref="AH2:AK2"/>
    <mergeCell ref="R3:W3"/>
    <mergeCell ref="J3:Q3"/>
    <mergeCell ref="N4:O4"/>
    <mergeCell ref="D3:I3"/>
    <mergeCell ref="AJ4:AK4"/>
    <mergeCell ref="X3:AC3"/>
    <mergeCell ref="D2:Q2"/>
    <mergeCell ref="F4:G4"/>
    <mergeCell ref="AB4:AC4"/>
    <mergeCell ref="AD4:AE4"/>
    <mergeCell ref="AF4:AG4"/>
    <mergeCell ref="AH4:AI4"/>
    <mergeCell ref="AD2:AG2"/>
    <mergeCell ref="X4:Y4"/>
    <mergeCell ref="Z4:AA4"/>
    <mergeCell ref="A25:B25"/>
    <mergeCell ref="AN16:AR16"/>
    <mergeCell ref="AI16:AM16"/>
    <mergeCell ref="AD16:AH16"/>
    <mergeCell ref="Y16:AC16"/>
    <mergeCell ref="T16:X16"/>
    <mergeCell ref="A24:B24"/>
    <mergeCell ref="O16:S16"/>
    <mergeCell ref="J16:N16"/>
    <mergeCell ref="J4:K4"/>
    <mergeCell ref="H4:I4"/>
    <mergeCell ref="S15:U15"/>
    <mergeCell ref="Y15:AA15"/>
  </mergeCells>
  <phoneticPr fontId="35" type="noConversion"/>
  <pageMargins left="0.42" right="0.93" top="0.98425196850393704" bottom="0.98425196850393704" header="0.51181102362204722" footer="0.51181102362204722"/>
  <pageSetup paperSize="9" orientation="landscape"/>
  <headerFooter alignWithMargins="0"/>
  <ignoredErrors>
    <ignoredError sqref="A7" twoDigitTextYear="1"/>
  </ignoredError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Z50"/>
  <sheetViews>
    <sheetView zoomScale="85" zoomScaleNormal="85" workbookViewId="0">
      <selection activeCell="D6" sqref="D6"/>
    </sheetView>
  </sheetViews>
  <sheetFormatPr defaultColWidth="9.1796875" defaultRowHeight="16.5" x14ac:dyDescent="0.35"/>
  <cols>
    <col min="1" max="1" width="11" style="63" customWidth="1"/>
    <col min="2" max="2" width="17.453125" style="63" customWidth="1"/>
    <col min="3" max="3" width="7.1796875" style="63" customWidth="1"/>
    <col min="4" max="4" width="14.1796875" style="62" bestFit="1" customWidth="1"/>
    <col min="5" max="5" width="8.7265625" style="62" customWidth="1"/>
    <col min="6" max="6" width="7.26953125" style="341" customWidth="1"/>
    <col min="7" max="7" width="6" style="62" customWidth="1"/>
    <col min="8" max="8" width="7.1796875" style="47" customWidth="1"/>
    <col min="9" max="9" width="7.7265625" style="62" customWidth="1"/>
    <col min="10" max="10" width="7.1796875" style="62" customWidth="1"/>
    <col min="11" max="11" width="6.26953125" style="62" customWidth="1"/>
    <col min="12" max="12" width="6.7265625" style="62" customWidth="1"/>
    <col min="13" max="13" width="6.7265625" style="63" customWidth="1"/>
    <col min="14" max="15" width="8.7265625" style="63" customWidth="1"/>
    <col min="16" max="16" width="6.81640625" style="63" customWidth="1"/>
    <col min="17" max="17" width="8.453125" style="63" customWidth="1"/>
    <col min="18" max="18" width="6.7265625" style="63" customWidth="1"/>
    <col min="19" max="21" width="7.7265625" style="63" customWidth="1"/>
    <col min="22" max="22" width="6.453125" style="63" customWidth="1"/>
    <col min="23" max="23" width="5.453125" style="63" customWidth="1"/>
    <col min="24" max="24" width="6.7265625" style="63" customWidth="1"/>
    <col min="25" max="25" width="7.453125" style="63" customWidth="1"/>
    <col min="26" max="26" width="6.453125" style="63" customWidth="1"/>
    <col min="27" max="27" width="5.26953125" style="63" customWidth="1"/>
    <col min="28" max="28" width="5.81640625" style="63" customWidth="1"/>
    <col min="29" max="29" width="7.26953125" style="63" customWidth="1"/>
    <col min="30" max="30" width="5.26953125" style="63" customWidth="1"/>
    <col min="31" max="31" width="5.453125" style="63" customWidth="1"/>
    <col min="32" max="32" width="5.26953125" style="63" customWidth="1"/>
    <col min="33" max="34" width="7.26953125" style="64" customWidth="1"/>
    <col min="35" max="35" width="6.453125" style="64" customWidth="1"/>
    <col min="36" max="36" width="7" style="64" customWidth="1"/>
    <col min="37" max="38" width="6.453125" style="64" customWidth="1"/>
    <col min="39" max="39" width="9" style="64" customWidth="1"/>
    <col min="40" max="40" width="10.7265625" style="64" customWidth="1"/>
    <col min="41" max="43" width="5.26953125" style="64" customWidth="1"/>
    <col min="44" max="44" width="7.7265625" style="348" customWidth="1"/>
    <col min="45" max="49" width="5.26953125" style="64" customWidth="1"/>
    <col min="50" max="16384" width="9.1796875" style="63"/>
  </cols>
  <sheetData>
    <row r="1" spans="1:51" ht="27.65" customHeight="1" x14ac:dyDescent="0.4">
      <c r="A1" s="1027" t="s">
        <v>61</v>
      </c>
      <c r="B1" s="1027"/>
      <c r="C1" s="1027"/>
      <c r="D1" s="647">
        <f>'user page'!Y1</f>
        <v>1</v>
      </c>
      <c r="E1" s="649"/>
      <c r="F1" s="650"/>
      <c r="G1" s="648"/>
      <c r="H1" s="62"/>
      <c r="I1" s="47"/>
      <c r="M1" s="62"/>
      <c r="AG1" s="63"/>
      <c r="AR1" s="64"/>
      <c r="AS1" s="348"/>
      <c r="AX1" s="64"/>
    </row>
    <row r="2" spans="1:51" ht="18" customHeight="1" thickBot="1" x14ac:dyDescent="0.4">
      <c r="A2" s="1018" t="s">
        <v>19</v>
      </c>
      <c r="B2" s="1019"/>
      <c r="C2" s="1019"/>
      <c r="D2" s="1009" t="s">
        <v>105</v>
      </c>
      <c r="E2" s="1032"/>
      <c r="F2" s="1032"/>
      <c r="G2" s="1032"/>
      <c r="H2" s="1009"/>
      <c r="I2" s="1009"/>
      <c r="J2" s="1009"/>
      <c r="K2" s="1009"/>
      <c r="L2" s="1009"/>
      <c r="M2" s="1009"/>
      <c r="N2" s="1009"/>
      <c r="O2" s="1009"/>
      <c r="P2" s="1009"/>
      <c r="Q2" s="1009"/>
      <c r="R2" s="1009" t="s">
        <v>401</v>
      </c>
      <c r="S2" s="1009"/>
      <c r="T2" s="1009"/>
      <c r="U2" s="1009"/>
      <c r="V2" s="1009"/>
      <c r="W2" s="1009"/>
      <c r="X2" s="1009"/>
      <c r="Y2" s="1009"/>
      <c r="Z2" s="1009"/>
      <c r="AA2" s="1009"/>
      <c r="AB2" s="1009"/>
      <c r="AC2" s="1009"/>
      <c r="AD2" s="1009" t="s">
        <v>14</v>
      </c>
      <c r="AE2" s="1009"/>
      <c r="AF2" s="1009"/>
      <c r="AG2" s="1009"/>
      <c r="AH2" s="1009" t="s">
        <v>97</v>
      </c>
      <c r="AI2" s="1009"/>
      <c r="AJ2" s="1009"/>
      <c r="AK2" s="1009"/>
    </row>
    <row r="3" spans="1:51" s="65" customFormat="1" ht="13.4" customHeight="1" x14ac:dyDescent="0.3">
      <c r="A3" s="57"/>
      <c r="B3" s="58"/>
      <c r="C3" s="58"/>
      <c r="D3" s="1009" t="s">
        <v>99</v>
      </c>
      <c r="E3" s="1009"/>
      <c r="F3" s="1009"/>
      <c r="G3" s="1009"/>
      <c r="H3" s="1009"/>
      <c r="I3" s="1009"/>
      <c r="J3" s="1023" t="s">
        <v>84</v>
      </c>
      <c r="K3" s="1024"/>
      <c r="L3" s="1024"/>
      <c r="M3" s="1024"/>
      <c r="N3" s="1024"/>
      <c r="O3" s="1024"/>
      <c r="P3" s="1024"/>
      <c r="Q3" s="1025"/>
      <c r="R3" s="1022" t="s">
        <v>17</v>
      </c>
      <c r="S3" s="1022"/>
      <c r="T3" s="1022"/>
      <c r="U3" s="1022"/>
      <c r="V3" s="1022"/>
      <c r="W3" s="1022"/>
      <c r="X3" s="1022" t="s">
        <v>18</v>
      </c>
      <c r="Y3" s="1022"/>
      <c r="Z3" s="1022"/>
      <c r="AA3" s="1022"/>
      <c r="AB3" s="1022"/>
      <c r="AC3" s="1022"/>
      <c r="AD3" s="55" t="s">
        <v>106</v>
      </c>
      <c r="AE3" s="55"/>
      <c r="AF3" s="55" t="s">
        <v>106</v>
      </c>
      <c r="AG3" s="42">
        <v>6</v>
      </c>
      <c r="AH3" s="44"/>
      <c r="AI3" s="44"/>
      <c r="AJ3" s="44"/>
      <c r="AK3" s="44"/>
      <c r="AR3" s="354"/>
    </row>
    <row r="4" spans="1:51" ht="13.4" customHeight="1" x14ac:dyDescent="0.35">
      <c r="A4" s="1020" t="s">
        <v>16</v>
      </c>
      <c r="B4" s="1021"/>
      <c r="C4" s="1021"/>
      <c r="D4" s="1010" t="s">
        <v>89</v>
      </c>
      <c r="E4" s="1010"/>
      <c r="F4" s="1010" t="s">
        <v>100</v>
      </c>
      <c r="G4" s="1010"/>
      <c r="H4" s="1010" t="s">
        <v>82</v>
      </c>
      <c r="I4" s="1010"/>
      <c r="J4" s="1010" t="s">
        <v>90</v>
      </c>
      <c r="K4" s="1010"/>
      <c r="L4" s="1010" t="s">
        <v>100</v>
      </c>
      <c r="M4" s="1010"/>
      <c r="N4" s="1010" t="s">
        <v>98</v>
      </c>
      <c r="O4" s="1010"/>
      <c r="P4" s="1010" t="s">
        <v>101</v>
      </c>
      <c r="Q4" s="1010"/>
      <c r="R4" s="1010" t="s">
        <v>102</v>
      </c>
      <c r="S4" s="1010"/>
      <c r="T4" s="1010" t="s">
        <v>100</v>
      </c>
      <c r="U4" s="1010"/>
      <c r="V4" s="1010" t="s">
        <v>98</v>
      </c>
      <c r="W4" s="1010" t="s">
        <v>10</v>
      </c>
      <c r="X4" s="1010" t="s">
        <v>103</v>
      </c>
      <c r="Y4" s="1010"/>
      <c r="Z4" s="1010" t="s">
        <v>104</v>
      </c>
      <c r="AA4" s="1010"/>
      <c r="AB4" s="1010" t="s">
        <v>98</v>
      </c>
      <c r="AC4" s="1010"/>
      <c r="AD4" s="1010" t="s">
        <v>99</v>
      </c>
      <c r="AE4" s="1010"/>
      <c r="AF4" s="1010" t="s">
        <v>84</v>
      </c>
      <c r="AG4" s="1010"/>
      <c r="AH4" s="1010" t="s">
        <v>99</v>
      </c>
      <c r="AI4" s="1010"/>
      <c r="AJ4" s="1010" t="s">
        <v>84</v>
      </c>
      <c r="AK4" s="1010"/>
    </row>
    <row r="5" spans="1:51" ht="13.4" customHeight="1" x14ac:dyDescent="0.35">
      <c r="A5" s="41"/>
      <c r="B5" s="59" t="s">
        <v>25</v>
      </c>
      <c r="C5" s="59" t="s">
        <v>26</v>
      </c>
      <c r="D5" s="56" t="s">
        <v>25</v>
      </c>
      <c r="E5" s="56" t="s">
        <v>26</v>
      </c>
      <c r="F5" s="342" t="s">
        <v>25</v>
      </c>
      <c r="G5" s="56" t="s">
        <v>26</v>
      </c>
      <c r="H5" s="56" t="s">
        <v>25</v>
      </c>
      <c r="I5" s="56" t="s">
        <v>26</v>
      </c>
      <c r="J5" s="56" t="s">
        <v>25</v>
      </c>
      <c r="K5" s="56" t="s">
        <v>26</v>
      </c>
      <c r="L5" s="56" t="s">
        <v>25</v>
      </c>
      <c r="M5" s="56" t="s">
        <v>26</v>
      </c>
      <c r="N5" s="56" t="s">
        <v>25</v>
      </c>
      <c r="O5" s="56" t="s">
        <v>26</v>
      </c>
      <c r="P5" s="56" t="s">
        <v>25</v>
      </c>
      <c r="Q5" s="56" t="s">
        <v>26</v>
      </c>
      <c r="R5" s="56" t="s">
        <v>25</v>
      </c>
      <c r="S5" s="56" t="s">
        <v>26</v>
      </c>
      <c r="T5" s="56" t="s">
        <v>25</v>
      </c>
      <c r="U5" s="56" t="s">
        <v>26</v>
      </c>
      <c r="V5" s="56" t="s">
        <v>25</v>
      </c>
      <c r="W5" s="56" t="s">
        <v>26</v>
      </c>
      <c r="X5" s="56" t="s">
        <v>25</v>
      </c>
      <c r="Y5" s="56" t="s">
        <v>26</v>
      </c>
      <c r="Z5" s="56" t="s">
        <v>25</v>
      </c>
      <c r="AA5" s="56" t="s">
        <v>26</v>
      </c>
      <c r="AB5" s="56" t="s">
        <v>25</v>
      </c>
      <c r="AC5" s="56" t="s">
        <v>26</v>
      </c>
      <c r="AD5" s="56" t="s">
        <v>25</v>
      </c>
      <c r="AE5" s="56" t="s">
        <v>26</v>
      </c>
      <c r="AF5" s="56" t="s">
        <v>25</v>
      </c>
      <c r="AG5" s="56" t="s">
        <v>26</v>
      </c>
      <c r="AH5" s="56" t="s">
        <v>25</v>
      </c>
      <c r="AI5" s="56" t="s">
        <v>26</v>
      </c>
      <c r="AJ5" s="56" t="s">
        <v>25</v>
      </c>
      <c r="AK5" s="56" t="s">
        <v>26</v>
      </c>
    </row>
    <row r="6" spans="1:51" ht="13.4" customHeight="1" x14ac:dyDescent="0.35">
      <c r="A6" s="39" t="s">
        <v>2</v>
      </c>
      <c r="B6" s="36">
        <f>IF(OR($D$1=0,$D$1=6),'Calibration Data'!R57,IF('user page'!$R$39=1,VLOOKUP((VLOOKUP($D$1,$A$38:$B$43,2,FALSE))&amp;"_"&amp;5&amp;"___"&amp;$A6&amp;"_"&amp;B$5,'Scenario Data'!$A$2:$V$12509,21,FALSE),'Calibration Data'!R57))</f>
        <v>2.7519837919972985E-2</v>
      </c>
      <c r="C6" s="36">
        <f>IF(OR($D$1=0,$D$1=6),'Calibration Data'!$R49,IF('user page'!$R$39=1,VLOOKUP((VLOOKUP($D$1,$A$38:$B$43,2,FALSE))&amp;"_"&amp;5&amp;"___"&amp;$A6&amp;"_"&amp;C$5,'Scenario Data'!$A$2:$V$12509,21,FALSE),'Calibration Data'!$R49))</f>
        <v>2.6084754347459056E-2</v>
      </c>
      <c r="D6" s="83">
        <f>'user page 2'!Q7</f>
        <v>0.73421897311853945</v>
      </c>
      <c r="E6" s="83">
        <f>'user page 2'!R7</f>
        <v>0.36039890357545301</v>
      </c>
      <c r="F6" s="343">
        <f t="shared" ref="F6:G13" si="0">D6*B6</f>
        <v>2.0205587137991209E-2</v>
      </c>
      <c r="G6" s="45">
        <f t="shared" si="0"/>
        <v>9.4009168668592758E-3</v>
      </c>
      <c r="H6" s="45">
        <f t="shared" ref="H6:I13" si="1">F6/($F$14+$G$14)*$C$18/B6</f>
        <v>33.166662657092594</v>
      </c>
      <c r="I6" s="45">
        <f t="shared" si="1"/>
        <v>16.280196092049565</v>
      </c>
      <c r="J6" s="83">
        <f>'user page 2'!Q16</f>
        <v>0.14985555251216795</v>
      </c>
      <c r="K6" s="83">
        <f>'user page 2'!R16</f>
        <v>0.33201617689395502</v>
      </c>
      <c r="L6" s="45">
        <f t="shared" ref="L6:M13" si="2">J6*B6</f>
        <v>4.1240005165428624E-3</v>
      </c>
      <c r="M6" s="45">
        <f t="shared" si="2"/>
        <v>8.6605604136613286E-3</v>
      </c>
      <c r="N6" s="45">
        <f t="shared" ref="N6:O13" si="3">L6/($L$14+$M$14)*$C$19/B6</f>
        <v>0.30037676057891161</v>
      </c>
      <c r="O6" s="45">
        <f t="shared" si="3"/>
        <v>0.66550716342060967</v>
      </c>
      <c r="P6" s="211">
        <f t="shared" ref="P6:Q13" si="4">N6/(H6+N6)</f>
        <v>8.9753012458073742E-3</v>
      </c>
      <c r="Q6" s="211">
        <f t="shared" si="4"/>
        <v>3.9272914991343305E-2</v>
      </c>
      <c r="R6" s="83">
        <v>1.0662510447145248</v>
      </c>
      <c r="S6" s="83">
        <v>0.87533447251901875</v>
      </c>
      <c r="T6" s="43">
        <f t="shared" ref="T6:U13" si="5">R6*B6</f>
        <v>2.9343055932545589E-2</v>
      </c>
      <c r="U6" s="43">
        <f t="shared" si="5"/>
        <v>2.2832884687521253E-2</v>
      </c>
      <c r="V6" s="403">
        <f>T6/($T$14+$U$14)*($V$15*0.621371)/B6</f>
        <v>3.2356641921870777</v>
      </c>
      <c r="W6" s="403">
        <f>U6/($T$14+$U$14)*($V$15*0.621371)/C6</f>
        <v>2.6563054010184457</v>
      </c>
      <c r="X6" s="83">
        <v>0.84739474343725973</v>
      </c>
      <c r="Y6" s="83">
        <v>0.83745444694719129</v>
      </c>
      <c r="Z6" s="43">
        <f t="shared" ref="Z6:AA13" si="6">X6*B6</f>
        <v>2.332016599363048E-2</v>
      </c>
      <c r="AA6" s="43">
        <f t="shared" si="6"/>
        <v>2.1844793525804668E-2</v>
      </c>
      <c r="AB6" s="43">
        <f>Z6/($Z$14+$AA$14)*($AB$15*0.621371)/B6</f>
        <v>10.31860359592071</v>
      </c>
      <c r="AC6" s="43">
        <f>AA6/($Z$14+$AA$14)*($AB$15*0.621371)/C6</f>
        <v>10.197562038958855</v>
      </c>
      <c r="AD6" s="95">
        <f>MAX(2.5,1.2216*V6+0.0838)</f>
        <v>4.0364873771757344</v>
      </c>
      <c r="AE6" s="95">
        <f>MAX(2.5,1.2216*W6+0.0838)</f>
        <v>3.3287426778841334</v>
      </c>
      <c r="AF6" s="95">
        <f>$AG$3</f>
        <v>6</v>
      </c>
      <c r="AG6" s="95">
        <f>$AG$3</f>
        <v>6</v>
      </c>
      <c r="AH6" s="43">
        <f t="shared" ref="AH6:AI13" si="7">R6*H6/60</f>
        <v>0.58939981179698664</v>
      </c>
      <c r="AI6" s="43">
        <f t="shared" si="7"/>
        <v>0.23751028097900659</v>
      </c>
      <c r="AJ6" s="43">
        <f t="shared" ref="AJ6:AK13" si="8">X6*N6/60</f>
        <v>4.2422947994213665E-3</v>
      </c>
      <c r="AK6" s="43">
        <f t="shared" si="8"/>
        <v>9.2888655580300131E-3</v>
      </c>
    </row>
    <row r="7" spans="1:51" ht="13.4" customHeight="1" x14ac:dyDescent="0.35">
      <c r="A7" s="645" t="s">
        <v>3</v>
      </c>
      <c r="B7" s="36">
        <f>IF(OR($D$1=0,$D$1=6),'Calibration Data'!R58,IF('user page'!$R$39=1,VLOOKUP((VLOOKUP($D$1,$A$38:$B$43,2,FALSE))&amp;"_"&amp;5&amp;"___"&amp;$A7&amp;"_"&amp;B$5,'Scenario Data'!$A$2:$V$12509,21,FALSE),'Calibration Data'!R58))</f>
        <v>5.6542292757048793E-2</v>
      </c>
      <c r="C7" s="36">
        <f>IF(OR($D$1=0,$D$1=6),'Calibration Data'!$R50,IF('user page'!$R$39=1,VLOOKUP((VLOOKUP($D$1,$A$38:$B$43,2,FALSE))&amp;"_"&amp;5&amp;"___"&amp;$A7&amp;"_"&amp;C$5,'Scenario Data'!$A$2:$V$12509,21,FALSE),'Calibration Data'!$R50))</f>
        <v>5.3435758905959821E-2</v>
      </c>
      <c r="D7" s="83">
        <f>'user page 2'!Q8</f>
        <v>1.1056732402973335</v>
      </c>
      <c r="E7" s="83">
        <f>'user page 2'!R8</f>
        <v>1.0936509173598967</v>
      </c>
      <c r="F7" s="343">
        <f t="shared" si="0"/>
        <v>6.2517300046526586E-2</v>
      </c>
      <c r="G7" s="45">
        <f t="shared" si="0"/>
        <v>5.8440066747325228E-2</v>
      </c>
      <c r="H7" s="45">
        <f t="shared" si="1"/>
        <v>49.94625951186844</v>
      </c>
      <c r="I7" s="45">
        <f t="shared" si="1"/>
        <v>49.403178573048557</v>
      </c>
      <c r="J7" s="83">
        <f>'user page 2'!Q17</f>
        <v>2.7635499052890284</v>
      </c>
      <c r="K7" s="83">
        <f>'user page 2'!R17</f>
        <v>1.702512523244367</v>
      </c>
      <c r="L7" s="45">
        <f t="shared" si="2"/>
        <v>0.15625744779356671</v>
      </c>
      <c r="M7" s="45">
        <f t="shared" si="2"/>
        <v>9.0975048726463309E-2</v>
      </c>
      <c r="N7" s="45">
        <f t="shared" si="3"/>
        <v>5.5393754474427874</v>
      </c>
      <c r="O7" s="45">
        <f t="shared" si="3"/>
        <v>3.4125875751961057</v>
      </c>
      <c r="P7" s="211">
        <f t="shared" si="4"/>
        <v>9.9834406716349675E-2</v>
      </c>
      <c r="Q7" s="211">
        <f t="shared" si="4"/>
        <v>6.4613046900002663E-2</v>
      </c>
      <c r="R7" s="83">
        <v>1.0662510447145248</v>
      </c>
      <c r="S7" s="83">
        <v>0.87533447251901875</v>
      </c>
      <c r="T7" s="43">
        <f t="shared" si="5"/>
        <v>6.0288278722757785E-2</v>
      </c>
      <c r="U7" s="43">
        <f t="shared" si="5"/>
        <v>4.6774161835601798E-2</v>
      </c>
      <c r="V7" s="403">
        <f t="shared" ref="V7:V13" si="9">T7/($T$14+$U$14)*($V$15*0.621371)/B7</f>
        <v>3.2356641921870781</v>
      </c>
      <c r="W7" s="403">
        <f t="shared" ref="W7:W13" si="10">U7/($T$14+$U$14)*($V$15*0.621371)/C7</f>
        <v>2.6563054010184461</v>
      </c>
      <c r="X7" s="83">
        <v>0.89201119875320134</v>
      </c>
      <c r="Y7" s="83">
        <v>0.98171847430893688</v>
      </c>
      <c r="Z7" s="43">
        <f t="shared" si="6"/>
        <v>5.0436358342469546E-2</v>
      </c>
      <c r="AA7" s="43">
        <f t="shared" si="6"/>
        <v>5.2458871706699065E-2</v>
      </c>
      <c r="AB7" s="43">
        <f t="shared" ref="AB7:AB13" si="11">Z7/($Z$14+$AA$14)*($AB$15*0.621371)/B7</f>
        <v>10.861891738578862</v>
      </c>
      <c r="AC7" s="43">
        <f t="shared" ref="AC7:AC13" si="12">AA7/($Z$14+$AA$14)*($AB$15*0.621371)/C7</f>
        <v>11.954244297169165</v>
      </c>
      <c r="AD7" s="95">
        <f t="shared" ref="AD7:AE13" si="13">MAX(2.5,1.2216*V7+0.0838)</f>
        <v>4.0364873771757344</v>
      </c>
      <c r="AE7" s="95">
        <f t="shared" si="13"/>
        <v>3.3287426778841338</v>
      </c>
      <c r="AF7" s="95">
        <f t="shared" ref="AF7:AG9" si="14">$AG$3</f>
        <v>6</v>
      </c>
      <c r="AG7" s="95">
        <f t="shared" si="14"/>
        <v>6</v>
      </c>
      <c r="AH7" s="43">
        <f t="shared" si="7"/>
        <v>0.88758752306854161</v>
      </c>
      <c r="AI7" s="43">
        <f t="shared" si="7"/>
        <v>0.72073842095003904</v>
      </c>
      <c r="AJ7" s="43">
        <f t="shared" si="8"/>
        <v>8.2353082220291529E-2</v>
      </c>
      <c r="AK7" s="43">
        <f t="shared" si="8"/>
        <v>5.5836671129452585E-2</v>
      </c>
    </row>
    <row r="8" spans="1:51" ht="13.4" customHeight="1" x14ac:dyDescent="0.35">
      <c r="A8" s="39" t="s">
        <v>4</v>
      </c>
      <c r="B8" s="36">
        <f>IF(OR($D$1=0,$D$1=6),'Calibration Data'!R59,IF('user page'!$R$39=1,VLOOKUP((VLOOKUP($D$1,$A$38:$B$43,2,FALSE))&amp;"_"&amp;5&amp;"___"&amp;$A8&amp;"_"&amp;B$5,'Scenario Data'!$A$2:$V$12509,21,FALSE),'Calibration Data'!R59))</f>
        <v>9.243626540604423E-2</v>
      </c>
      <c r="C8" s="36">
        <f>IF(OR($D$1=0,$D$1=6),'Calibration Data'!$R51,IF('user page'!$R$39=1,VLOOKUP((VLOOKUP($D$1,$A$38:$B$43,2,FALSE))&amp;"_"&amp;5&amp;"___"&amp;$A8&amp;"_"&amp;C$5,'Scenario Data'!$A$2:$V$12509,21,FALSE),'Calibration Data'!$R51))</f>
        <v>8.5041364173560702E-2</v>
      </c>
      <c r="D8" s="83">
        <f>'user page 2'!Q9</f>
        <v>0.91417563862305196</v>
      </c>
      <c r="E8" s="83">
        <f>'user page 2'!R9</f>
        <v>1</v>
      </c>
      <c r="F8" s="343">
        <f t="shared" si="0"/>
        <v>8.4502981959500414E-2</v>
      </c>
      <c r="G8" s="45">
        <f t="shared" si="0"/>
        <v>8.5041364173560702E-2</v>
      </c>
      <c r="H8" s="45">
        <f t="shared" si="1"/>
        <v>41.295793388122881</v>
      </c>
      <c r="I8" s="45">
        <f t="shared" si="1"/>
        <v>45.172712598558583</v>
      </c>
      <c r="J8" s="83">
        <f>'user page 2'!Q18</f>
        <v>2.3910524323580478</v>
      </c>
      <c r="K8" s="83">
        <f>'user page 2'!R18</f>
        <v>1</v>
      </c>
      <c r="L8" s="45">
        <f t="shared" si="2"/>
        <v>0.22101995723721612</v>
      </c>
      <c r="M8" s="45">
        <f t="shared" si="2"/>
        <v>8.5041364173560702E-2</v>
      </c>
      <c r="N8" s="45">
        <f t="shared" si="3"/>
        <v>4.7927258747901256</v>
      </c>
      <c r="O8" s="45">
        <f t="shared" si="3"/>
        <v>2.0044419812507228</v>
      </c>
      <c r="P8" s="211">
        <f t="shared" si="4"/>
        <v>0.10398958246954977</v>
      </c>
      <c r="Q8" s="211">
        <f t="shared" si="4"/>
        <v>4.2487555663405271E-2</v>
      </c>
      <c r="R8" s="83">
        <v>1.0206231846929574</v>
      </c>
      <c r="S8" s="83">
        <v>1.0002107209990982</v>
      </c>
      <c r="T8" s="43">
        <f t="shared" si="5"/>
        <v>9.4342595579840316E-2</v>
      </c>
      <c r="U8" s="43">
        <f t="shared" si="5"/>
        <v>8.5059284174784033E-2</v>
      </c>
      <c r="V8" s="403">
        <f t="shared" si="9"/>
        <v>3.0972010848637583</v>
      </c>
      <c r="W8" s="403">
        <f t="shared" si="10"/>
        <v>3.0352570631664824</v>
      </c>
      <c r="X8" s="83">
        <v>1.0720996859255612</v>
      </c>
      <c r="Y8" s="83">
        <v>0.95696550895019128</v>
      </c>
      <c r="Z8" s="43">
        <f t="shared" si="6"/>
        <v>9.9100891109951836E-2</v>
      </c>
      <c r="AA8" s="43">
        <f t="shared" si="6"/>
        <v>8.1381652348170075E-2</v>
      </c>
      <c r="AB8" s="43">
        <f t="shared" si="11"/>
        <v>13.054803277990857</v>
      </c>
      <c r="AC8" s="43">
        <f t="shared" si="12"/>
        <v>11.65283100739064</v>
      </c>
      <c r="AD8" s="95">
        <f t="shared" si="13"/>
        <v>3.8673408452695672</v>
      </c>
      <c r="AE8" s="95">
        <f t="shared" si="13"/>
        <v>3.7916700283641749</v>
      </c>
      <c r="AF8" s="95">
        <f t="shared" si="14"/>
        <v>6</v>
      </c>
      <c r="AG8" s="95">
        <f t="shared" si="14"/>
        <v>6</v>
      </c>
      <c r="AH8" s="43">
        <f t="shared" si="7"/>
        <v>0.70245740270347257</v>
      </c>
      <c r="AI8" s="43">
        <f t="shared" si="7"/>
        <v>0.75303719062815555</v>
      </c>
      <c r="AJ8" s="43">
        <f t="shared" si="8"/>
        <v>8.56379984181634E-2</v>
      </c>
      <c r="AK8" s="43">
        <f t="shared" si="8"/>
        <v>3.1969697345812127E-2</v>
      </c>
    </row>
    <row r="9" spans="1:51" ht="13.4" customHeight="1" x14ac:dyDescent="0.35">
      <c r="A9" s="39" t="s">
        <v>5</v>
      </c>
      <c r="B9" s="36">
        <f>IF(OR($D$1=0,$D$1=6),'Calibration Data'!R60,IF('user page'!$R$39=1,VLOOKUP((VLOOKUP($D$1,$A$38:$B$43,2,FALSE))&amp;"_"&amp;5&amp;"___"&amp;$A9&amp;"_"&amp;B$5,'Scenario Data'!$A$2:$V$12509,21,FALSE),'Calibration Data'!R60))</f>
        <v>9.5036299172716526E-2</v>
      </c>
      <c r="C9" s="36">
        <f>IF(OR($D$1=0,$D$1=6),'Calibration Data'!$R52,IF('user page'!$R$39=1,VLOOKUP((VLOOKUP($D$1,$A$38:$B$43,2,FALSE))&amp;"_"&amp;5&amp;"___"&amp;$A9&amp;"_"&amp;C$5,'Scenario Data'!$A$2:$V$12509,21,FALSE),'Calibration Data'!$R52))</f>
        <v>8.9211548201924701E-2</v>
      </c>
      <c r="D9" s="83">
        <f>'user page 2'!Q10</f>
        <v>0.4966244044375544</v>
      </c>
      <c r="E9" s="83">
        <f>'user page 2'!R10</f>
        <v>0.78316334599237769</v>
      </c>
      <c r="F9" s="343">
        <f t="shared" si="0"/>
        <v>4.7197345476599588E-2</v>
      </c>
      <c r="G9" s="45">
        <f t="shared" si="0"/>
        <v>6.9867214590979637E-2</v>
      </c>
      <c r="H9" s="45">
        <f t="shared" si="1"/>
        <v>22.433871491087967</v>
      </c>
      <c r="I9" s="45">
        <f t="shared" si="1"/>
        <v>35.377612746239173</v>
      </c>
      <c r="J9" s="83">
        <f>'user page 2'!Q19</f>
        <v>2.7072018230616095</v>
      </c>
      <c r="K9" s="83">
        <f>'user page 2'!R19</f>
        <v>1.1912355983677274</v>
      </c>
      <c r="L9" s="45">
        <f t="shared" si="2"/>
        <v>0.25728244237740672</v>
      </c>
      <c r="M9" s="45">
        <f t="shared" si="2"/>
        <v>0.10627197200363113</v>
      </c>
      <c r="N9" s="45">
        <f t="shared" si="3"/>
        <v>5.4264289858631809</v>
      </c>
      <c r="O9" s="45">
        <f t="shared" si="3"/>
        <v>2.3877626429285979</v>
      </c>
      <c r="P9" s="211">
        <f t="shared" si="4"/>
        <v>0.19477280908554706</v>
      </c>
      <c r="Q9" s="211">
        <f t="shared" si="4"/>
        <v>6.3226238805333804E-2</v>
      </c>
      <c r="R9" s="83">
        <v>1.0590466457637511</v>
      </c>
      <c r="S9" s="83">
        <v>1.0338312494360427</v>
      </c>
      <c r="T9" s="43">
        <f t="shared" si="5"/>
        <v>0.10064787386466578</v>
      </c>
      <c r="U9" s="43">
        <f t="shared" si="5"/>
        <v>9.2229686341719561E-2</v>
      </c>
      <c r="V9" s="403">
        <f t="shared" si="9"/>
        <v>3.2138015962939224</v>
      </c>
      <c r="W9" s="403">
        <f t="shared" si="10"/>
        <v>3.1372825106678763</v>
      </c>
      <c r="X9" s="83">
        <v>1.0734872746194433</v>
      </c>
      <c r="Y9" s="83">
        <v>0.98047195259287001</v>
      </c>
      <c r="Z9" s="43">
        <f t="shared" si="6"/>
        <v>0.10202025778883751</v>
      </c>
      <c r="AA9" s="43">
        <f t="shared" si="6"/>
        <v>8.746942085937405E-2</v>
      </c>
      <c r="AB9" s="43">
        <f t="shared" si="11"/>
        <v>13.071699745425001</v>
      </c>
      <c r="AC9" s="43">
        <f t="shared" si="12"/>
        <v>11.939065581981922</v>
      </c>
      <c r="AD9" s="95">
        <f t="shared" si="13"/>
        <v>4.0097800300326556</v>
      </c>
      <c r="AE9" s="95">
        <f t="shared" si="13"/>
        <v>3.9163043150318777</v>
      </c>
      <c r="AF9" s="95">
        <f t="shared" si="14"/>
        <v>6</v>
      </c>
      <c r="AG9" s="95">
        <f t="shared" si="14"/>
        <v>6</v>
      </c>
      <c r="AH9" s="43">
        <f t="shared" si="7"/>
        <v>0.39597527256886256</v>
      </c>
      <c r="AI9" s="43">
        <f t="shared" si="7"/>
        <v>0.60957469312514856</v>
      </c>
      <c r="AJ9" s="43">
        <f t="shared" si="8"/>
        <v>9.7086707715836926E-2</v>
      </c>
      <c r="AK9" s="43">
        <f t="shared" si="8"/>
        <v>3.9018905014008572E-2</v>
      </c>
    </row>
    <row r="10" spans="1:51" ht="13.4" customHeight="1" x14ac:dyDescent="0.35">
      <c r="A10" s="39" t="s">
        <v>6</v>
      </c>
      <c r="B10" s="36">
        <f>IF(OR($D$1=0,$D$1=6),'Calibration Data'!R61,IF('user page'!$R$39=1,VLOOKUP((VLOOKUP($D$1,$A$38:$B$43,2,FALSE))&amp;"_"&amp;5&amp;"___"&amp;$A10&amp;"_"&amp;B$5,'Scenario Data'!$A$2:$V$12509,21,FALSE),'Calibration Data'!R61))</f>
        <v>9.777139962856661E-2</v>
      </c>
      <c r="C10" s="36">
        <f>IF(OR($D$1=0,$D$1=6),'Calibration Data'!$R53,IF('user page'!$R$39=1,VLOOKUP((VLOOKUP($D$1,$A$38:$B$43,2,FALSE))&amp;"_"&amp;5&amp;"___"&amp;$A10&amp;"_"&amp;C$5,'Scenario Data'!$A$2:$V$12509,21,FALSE),'Calibration Data'!$R53))</f>
        <v>9.5694749282458219E-2</v>
      </c>
      <c r="D10" s="83">
        <f>'user page 2'!Q11</f>
        <v>0.72703050067204245</v>
      </c>
      <c r="E10" s="83">
        <f>'user page 2'!R11</f>
        <v>1.1154648696829688</v>
      </c>
      <c r="F10" s="343">
        <f t="shared" si="0"/>
        <v>7.1082789623363132E-2</v>
      </c>
      <c r="G10" s="45">
        <f t="shared" si="0"/>
        <v>0.10674413103770163</v>
      </c>
      <c r="H10" s="45">
        <f t="shared" si="1"/>
        <v>32.841939857244327</v>
      </c>
      <c r="I10" s="45">
        <f t="shared" si="1"/>
        <v>50.388573971977351</v>
      </c>
      <c r="J10" s="83">
        <f>'user page 2'!Q20</f>
        <v>7.758948858258476</v>
      </c>
      <c r="K10" s="83">
        <f>'user page 2'!R20</f>
        <v>3.4608264344733777</v>
      </c>
      <c r="L10" s="45">
        <f t="shared" si="2"/>
        <v>0.75860328951840006</v>
      </c>
      <c r="M10" s="45">
        <f t="shared" si="2"/>
        <v>0.3311829179570337</v>
      </c>
      <c r="N10" s="45">
        <f t="shared" si="3"/>
        <v>15.552362821870654</v>
      </c>
      <c r="O10" s="45">
        <f t="shared" si="3"/>
        <v>6.9370257950806913</v>
      </c>
      <c r="P10" s="211">
        <f t="shared" si="4"/>
        <v>0.32136763959577463</v>
      </c>
      <c r="Q10" s="211">
        <f t="shared" si="4"/>
        <v>0.12101095886077461</v>
      </c>
      <c r="R10" s="83">
        <v>1.039234548649123</v>
      </c>
      <c r="S10" s="83">
        <v>0.94737846202675691</v>
      </c>
      <c r="T10" s="43">
        <f t="shared" si="5"/>
        <v>0.10160741636378645</v>
      </c>
      <c r="U10" s="43">
        <f t="shared" si="5"/>
        <v>9.0659144399251365E-2</v>
      </c>
      <c r="V10" s="403">
        <f t="shared" si="9"/>
        <v>3.1536794575877432</v>
      </c>
      <c r="W10" s="403">
        <f t="shared" si="10"/>
        <v>2.874931359950005</v>
      </c>
      <c r="X10" s="83">
        <v>1.156495199006248</v>
      </c>
      <c r="Y10" s="83">
        <v>0.96279225292112047</v>
      </c>
      <c r="Z10" s="43">
        <f t="shared" si="6"/>
        <v>0.11307215427055854</v>
      </c>
      <c r="AA10" s="43">
        <f t="shared" si="6"/>
        <v>9.2134163254379731E-2</v>
      </c>
      <c r="AB10" s="43">
        <f t="shared" si="11"/>
        <v>14.082475270882354</v>
      </c>
      <c r="AC10" s="43">
        <f t="shared" si="12"/>
        <v>11.723782428504089</v>
      </c>
      <c r="AD10" s="95">
        <f t="shared" si="13"/>
        <v>3.9363348253891872</v>
      </c>
      <c r="AE10" s="95">
        <f t="shared" si="13"/>
        <v>3.5958161493149263</v>
      </c>
      <c r="AF10" s="95">
        <f>$AG$3</f>
        <v>6</v>
      </c>
      <c r="AG10" s="95">
        <f>$AG$3</f>
        <v>6</v>
      </c>
      <c r="AH10" s="43">
        <f t="shared" si="7"/>
        <v>0.56884130907174912</v>
      </c>
      <c r="AI10" s="43">
        <f t="shared" si="7"/>
        <v>0.79561749522155623</v>
      </c>
      <c r="AJ10" s="43">
        <f t="shared" si="8"/>
        <v>0.29977054894494454</v>
      </c>
      <c r="AK10" s="43">
        <f t="shared" si="8"/>
        <v>0.11131524489696108</v>
      </c>
    </row>
    <row r="11" spans="1:51" ht="13.4" customHeight="1" x14ac:dyDescent="0.35">
      <c r="A11" s="39" t="s">
        <v>7</v>
      </c>
      <c r="B11" s="36">
        <f>IF(OR($D$1=0,$D$1=6),'Calibration Data'!R62,IF('user page'!$R$39=1,VLOOKUP((VLOOKUP($D$1,$A$38:$B$43,2,FALSE))&amp;"_"&amp;5&amp;"___"&amp;$A11&amp;"_"&amp;B$5,'Scenario Data'!$A$2:$V$12509,21,FALSE),'Calibration Data'!R62))</f>
        <v>4.6749957791659635E-2</v>
      </c>
      <c r="C11" s="36">
        <f>IF(OR($D$1=0,$D$1=6),'Calibration Data'!$R54,IF('user page'!$R$39=1,VLOOKUP((VLOOKUP($D$1,$A$38:$B$43,2,FALSE))&amp;"_"&amp;5&amp;"___"&amp;$A11&amp;"_"&amp;C$5,'Scenario Data'!$A$2:$V$12509,21,FALSE),'Calibration Data'!$R54))</f>
        <v>5.0920141820023634E-2</v>
      </c>
      <c r="D11" s="83">
        <f>'user page 2'!Q12</f>
        <v>1.0864541997907604</v>
      </c>
      <c r="E11" s="83">
        <f>'user page 2'!R12</f>
        <v>1.0201532886325915</v>
      </c>
      <c r="F11" s="343">
        <f t="shared" si="0"/>
        <v>5.0791687982789394E-2</v>
      </c>
      <c r="G11" s="45">
        <f t="shared" si="0"/>
        <v>5.1946350135335065E-2</v>
      </c>
      <c r="H11" s="45">
        <f t="shared" si="1"/>
        <v>49.078083318644964</v>
      </c>
      <c r="I11" s="45">
        <f t="shared" si="1"/>
        <v>46.083091313874434</v>
      </c>
      <c r="J11" s="83">
        <f>'user page 2'!Q21</f>
        <v>0.68007307207670809</v>
      </c>
      <c r="K11" s="83">
        <f>'user page 2'!R21</f>
        <v>0.34642735219066312</v>
      </c>
      <c r="L11" s="45">
        <f t="shared" si="2"/>
        <v>3.1793387414830405E-2</v>
      </c>
      <c r="M11" s="45">
        <f t="shared" si="2"/>
        <v>1.764012990388384E-2</v>
      </c>
      <c r="N11" s="45">
        <f t="shared" si="3"/>
        <v>1.3631670159887022</v>
      </c>
      <c r="O11" s="45">
        <f t="shared" si="3"/>
        <v>0.69439352818449462</v>
      </c>
      <c r="P11" s="211">
        <f t="shared" si="4"/>
        <v>2.7024845874066939E-2</v>
      </c>
      <c r="Q11" s="211">
        <f t="shared" si="4"/>
        <v>1.484461019075883E-2</v>
      </c>
      <c r="R11" s="83">
        <v>1.0302290499606557</v>
      </c>
      <c r="S11" s="83">
        <v>0.93296966412520921</v>
      </c>
      <c r="T11" s="43">
        <f t="shared" si="5"/>
        <v>4.8163164601402256E-2</v>
      </c>
      <c r="U11" s="43">
        <f t="shared" si="5"/>
        <v>4.7506947611035466E-2</v>
      </c>
      <c r="V11" s="403">
        <f t="shared" si="9"/>
        <v>3.126351212721298</v>
      </c>
      <c r="W11" s="403">
        <f t="shared" si="10"/>
        <v>2.8312061681636931</v>
      </c>
      <c r="X11" s="83">
        <v>1.0630716656428001</v>
      </c>
      <c r="Y11" s="83">
        <v>0.92915629547235501</v>
      </c>
      <c r="Z11" s="43">
        <f t="shared" si="6"/>
        <v>4.9698555498310211E-2</v>
      </c>
      <c r="AA11" s="43">
        <f t="shared" si="6"/>
        <v>4.7312770338420101E-2</v>
      </c>
      <c r="AB11" s="43">
        <f t="shared" si="11"/>
        <v>12.944870376854515</v>
      </c>
      <c r="AC11" s="43">
        <f t="shared" si="12"/>
        <v>11.314202224979065</v>
      </c>
      <c r="AD11" s="95">
        <f t="shared" si="13"/>
        <v>3.9029506414603379</v>
      </c>
      <c r="AE11" s="95">
        <f t="shared" si="13"/>
        <v>3.5424014550287675</v>
      </c>
      <c r="AF11" s="95">
        <f>$AG$3</f>
        <v>6</v>
      </c>
      <c r="AG11" s="95">
        <f>$AG$3</f>
        <v>6</v>
      </c>
      <c r="AH11" s="43">
        <f t="shared" si="7"/>
        <v>0.84269445252095843</v>
      </c>
      <c r="AI11" s="43">
        <f t="shared" si="7"/>
        <v>0.71656877041594624</v>
      </c>
      <c r="AJ11" s="43">
        <f t="shared" si="8"/>
        <v>2.4152403837273916E-2</v>
      </c>
      <c r="AK11" s="43">
        <f t="shared" si="8"/>
        <v>1.0753335304131389E-2</v>
      </c>
    </row>
    <row r="12" spans="1:51" ht="13.4" customHeight="1" x14ac:dyDescent="0.35">
      <c r="A12" s="39" t="s">
        <v>8</v>
      </c>
      <c r="B12" s="36">
        <f>IF(OR($D$1=0,$D$1=6),'Calibration Data'!R63,IF('user page'!$R$39=1,VLOOKUP((VLOOKUP($D$1,$A$38:$B$43,2,FALSE))&amp;"_"&amp;5&amp;"___"&amp;$A12&amp;"_"&amp;B$5,'Scenario Data'!$A$2:$V$12509,21,FALSE),'Calibration Data'!R63))</f>
        <v>4.6074624345770726E-2</v>
      </c>
      <c r="C12" s="36">
        <f>IF(OR($D$1=0,$D$1=6),'Calibration Data'!$R55,IF('user page'!$R$39=1,VLOOKUP((VLOOKUP($D$1,$A$38:$B$43,2,FALSE))&amp;"_"&amp;5&amp;"___"&amp;$A12&amp;"_"&amp;C$5,'Scenario Data'!$A$2:$V$12509,21,FALSE),'Calibration Data'!$R55))</f>
        <v>5.2051325341887555E-2</v>
      </c>
      <c r="D12" s="83">
        <f>'user page 2'!Q13</f>
        <v>1.3799894883774591</v>
      </c>
      <c r="E12" s="83">
        <f>'user page 2'!R13</f>
        <v>0.8831145060311737</v>
      </c>
      <c r="F12" s="343">
        <f t="shared" si="0"/>
        <v>6.3582497278103764E-2</v>
      </c>
      <c r="G12" s="45">
        <f t="shared" si="0"/>
        <v>4.5967280467568941E-2</v>
      </c>
      <c r="H12" s="45">
        <f t="shared" si="1"/>
        <v>62.337868547506851</v>
      </c>
      <c r="I12" s="45">
        <f t="shared" si="1"/>
        <v>39.892677772564241</v>
      </c>
      <c r="J12" s="83">
        <f>'user page 2'!Q22</f>
        <v>1.5629289651911593</v>
      </c>
      <c r="K12" s="83">
        <f>'user page 2'!R22</f>
        <v>0.8432932765935035</v>
      </c>
      <c r="L12" s="45">
        <f t="shared" si="2"/>
        <v>7.2011364950306841E-2</v>
      </c>
      <c r="M12" s="45">
        <f t="shared" si="2"/>
        <v>4.3894532698594821E-2</v>
      </c>
      <c r="N12" s="45">
        <f t="shared" si="3"/>
        <v>3.1328004315419098</v>
      </c>
      <c r="O12" s="45">
        <f t="shared" si="3"/>
        <v>1.690332446110496</v>
      </c>
      <c r="P12" s="211">
        <f t="shared" si="4"/>
        <v>4.7850441738184098E-2</v>
      </c>
      <c r="Q12" s="211">
        <f t="shared" si="4"/>
        <v>4.0649593120398377E-2</v>
      </c>
      <c r="R12" s="83">
        <v>0.95098066150214378</v>
      </c>
      <c r="S12" s="83">
        <v>0.89694766937134018</v>
      </c>
      <c r="T12" s="43">
        <f t="shared" si="5"/>
        <v>4.3816076738803826E-2</v>
      </c>
      <c r="U12" s="43">
        <f t="shared" si="5"/>
        <v>4.6687314953095423E-2</v>
      </c>
      <c r="V12" s="403">
        <f t="shared" si="9"/>
        <v>2.8858626578965834</v>
      </c>
      <c r="W12" s="403">
        <f t="shared" si="10"/>
        <v>2.7218931886979143</v>
      </c>
      <c r="X12" s="83">
        <v>1.0293386595342919</v>
      </c>
      <c r="Y12" s="83">
        <v>0.84850875826748196</v>
      </c>
      <c r="Z12" s="43">
        <f t="shared" si="6"/>
        <v>4.742639206262169E-2</v>
      </c>
      <c r="AA12" s="43">
        <f t="shared" si="6"/>
        <v>4.4166005432021725E-2</v>
      </c>
      <c r="AB12" s="43">
        <f t="shared" si="11"/>
        <v>12.53410842579429</v>
      </c>
      <c r="AC12" s="43">
        <f t="shared" si="12"/>
        <v>10.332168793866609</v>
      </c>
      <c r="AD12" s="95">
        <f t="shared" si="13"/>
        <v>3.6091698228864666</v>
      </c>
      <c r="AE12" s="95">
        <f t="shared" si="13"/>
        <v>3.4088647193133723</v>
      </c>
      <c r="AF12" s="95">
        <v>6</v>
      </c>
      <c r="AG12" s="95">
        <v>6</v>
      </c>
      <c r="AH12" s="43">
        <f t="shared" si="7"/>
        <v>0.98803512446569586</v>
      </c>
      <c r="AI12" s="43">
        <f t="shared" si="7"/>
        <v>0.5963607392180561</v>
      </c>
      <c r="AJ12" s="43">
        <f t="shared" si="8"/>
        <v>5.3745209946530009E-2</v>
      </c>
      <c r="AK12" s="43">
        <f t="shared" si="8"/>
        <v>2.3904364748474204E-2</v>
      </c>
    </row>
    <row r="13" spans="1:51" ht="13.4" customHeight="1" x14ac:dyDescent="0.35">
      <c r="A13" s="40" t="s">
        <v>9</v>
      </c>
      <c r="B13" s="36">
        <f>IF(OR($D$1=0,$D$1=6),'Calibration Data'!R64,IF('user page'!$R$39=1,VLOOKUP((VLOOKUP($D$1,$A$38:$B$43,2,FALSE))&amp;"_"&amp;5&amp;"___"&amp;$A13&amp;"_"&amp;B$5,'Scenario Data'!$A$2:$V$12509,21,FALSE),'Calibration Data'!R64))</f>
        <v>3.7160222860037145E-2</v>
      </c>
      <c r="C13" s="36">
        <f>IF(OR($D$1=0,$D$1=6),'Calibration Data'!$R56,IF('user page'!$R$39=1,VLOOKUP((VLOOKUP($D$1,$A$38:$B$43,2,FALSE))&amp;"_"&amp;5&amp;"___"&amp;$A13&amp;"_"&amp;C$5,'Scenario Data'!$A$2:$V$12509,21,FALSE),'Calibration Data'!$R56))</f>
        <v>4.8269458044909674E-2</v>
      </c>
      <c r="D13" s="83">
        <f>'user page 2'!Q14</f>
        <v>0.71851957906701924</v>
      </c>
      <c r="E13" s="83">
        <f>'user page 2'!R14</f>
        <v>0.54759068323896976</v>
      </c>
      <c r="F13" s="343">
        <f t="shared" si="0"/>
        <v>2.6700347687430515E-2</v>
      </c>
      <c r="G13" s="45">
        <f t="shared" si="0"/>
        <v>2.6431905510386874E-2</v>
      </c>
      <c r="H13" s="45">
        <f t="shared" si="1"/>
        <v>32.45747844163175</v>
      </c>
      <c r="I13" s="45">
        <f t="shared" si="1"/>
        <v>24.73615655560231</v>
      </c>
      <c r="J13" s="83">
        <f>'user page 2'!Q23</f>
        <v>0.1</v>
      </c>
      <c r="K13" s="83">
        <f>'user page 2'!R23</f>
        <v>0.1</v>
      </c>
      <c r="L13" s="45">
        <f t="shared" si="2"/>
        <v>3.7160222860037149E-3</v>
      </c>
      <c r="M13" s="45">
        <f t="shared" si="2"/>
        <v>4.8269458044909678E-3</v>
      </c>
      <c r="N13" s="45">
        <f t="shared" si="3"/>
        <v>0.2004441981250723</v>
      </c>
      <c r="O13" s="45">
        <f t="shared" si="3"/>
        <v>0.20044419812507228</v>
      </c>
      <c r="P13" s="211">
        <f t="shared" si="4"/>
        <v>6.1376897831540971E-3</v>
      </c>
      <c r="Q13" s="211">
        <f t="shared" si="4"/>
        <v>8.0381524372407087E-3</v>
      </c>
      <c r="R13" s="83">
        <v>0.95098066150214378</v>
      </c>
      <c r="S13" s="83">
        <v>0.89694766937134018</v>
      </c>
      <c r="T13" s="43">
        <f t="shared" si="5"/>
        <v>3.5338653317005211E-2</v>
      </c>
      <c r="U13" s="43">
        <f t="shared" si="5"/>
        <v>4.3295177895199419E-2</v>
      </c>
      <c r="V13" s="403">
        <f t="shared" si="9"/>
        <v>2.8858626578965834</v>
      </c>
      <c r="W13" s="403">
        <f t="shared" si="10"/>
        <v>2.7218931886979134</v>
      </c>
      <c r="X13" s="83">
        <v>0.90228329150939157</v>
      </c>
      <c r="Y13" s="83">
        <v>0.83081180869133686</v>
      </c>
      <c r="Z13" s="43">
        <f t="shared" si="6"/>
        <v>3.3529048195376852E-2</v>
      </c>
      <c r="AA13" s="43">
        <f t="shared" si="6"/>
        <v>4.0102835742842007E-2</v>
      </c>
      <c r="AB13" s="43">
        <f t="shared" si="11"/>
        <v>10.986973530828029</v>
      </c>
      <c r="AC13" s="43">
        <f t="shared" si="12"/>
        <v>10.116675590790399</v>
      </c>
      <c r="AD13" s="95">
        <f t="shared" si="13"/>
        <v>3.6091698228864666</v>
      </c>
      <c r="AE13" s="95">
        <f t="shared" si="13"/>
        <v>3.408864719313371</v>
      </c>
      <c r="AF13" s="95">
        <v>6</v>
      </c>
      <c r="AG13" s="95">
        <v>6</v>
      </c>
      <c r="AH13" s="43">
        <f t="shared" si="7"/>
        <v>0.51444057198524218</v>
      </c>
      <c r="AI13" s="43">
        <f t="shared" si="7"/>
        <v>0.36978396619586817</v>
      </c>
      <c r="AJ13" s="43">
        <f t="shared" si="8"/>
        <v>3.0142908474708476E-3</v>
      </c>
      <c r="AK13" s="43">
        <f t="shared" si="8"/>
        <v>2.7755234464329329E-3</v>
      </c>
    </row>
    <row r="14" spans="1:51" ht="13.4" customHeight="1" x14ac:dyDescent="0.35">
      <c r="B14" s="37">
        <f t="shared" ref="B14:O14" si="15">SUM(B6:B13)</f>
        <v>0.49929089988181674</v>
      </c>
      <c r="C14" s="37">
        <f t="shared" si="15"/>
        <v>0.50070910011818337</v>
      </c>
      <c r="D14" s="48">
        <f t="shared" si="15"/>
        <v>7.1626860243837598</v>
      </c>
      <c r="E14" s="48">
        <f t="shared" si="15"/>
        <v>6.8035365145134303</v>
      </c>
      <c r="F14" s="344">
        <f t="shared" si="15"/>
        <v>0.4265805371923046</v>
      </c>
      <c r="G14" s="48">
        <f t="shared" si="15"/>
        <v>0.45383922952971734</v>
      </c>
      <c r="H14" s="48"/>
      <c r="I14" s="48"/>
      <c r="J14" s="48">
        <f t="shared" si="15"/>
        <v>18.113610608747198</v>
      </c>
      <c r="K14" s="48">
        <f t="shared" si="15"/>
        <v>8.9763113617635923</v>
      </c>
      <c r="L14" s="48">
        <f t="shared" si="15"/>
        <v>1.5048079120942734</v>
      </c>
      <c r="M14" s="48">
        <f t="shared" si="15"/>
        <v>0.6884934716813198</v>
      </c>
      <c r="N14" s="48">
        <f t="shared" si="15"/>
        <v>36.307681536201336</v>
      </c>
      <c r="O14" s="48">
        <f t="shared" si="15"/>
        <v>17.992495330296791</v>
      </c>
      <c r="P14" s="48"/>
      <c r="Q14" s="48"/>
      <c r="R14" s="48"/>
      <c r="S14" s="48"/>
      <c r="T14" s="48">
        <f>SUM(T6:T13)</f>
        <v>0.5135471151208072</v>
      </c>
      <c r="U14" s="48">
        <f>SUM(U6:U13)</f>
        <v>0.47504460189820835</v>
      </c>
      <c r="V14" s="48"/>
      <c r="W14" s="48"/>
      <c r="X14" s="48"/>
      <c r="Y14" s="48"/>
      <c r="Z14" s="48">
        <f>SUM(Z6:Z13)</f>
        <v>0.51860382326175669</v>
      </c>
      <c r="AA14" s="45">
        <f>SUM(AA6:AA13)</f>
        <v>0.46687051320771139</v>
      </c>
      <c r="AB14" s="45"/>
      <c r="AC14" s="45"/>
      <c r="AD14" s="45"/>
      <c r="AE14" s="45"/>
      <c r="AF14" s="45"/>
      <c r="AG14" s="45"/>
      <c r="AH14" s="45"/>
      <c r="AI14" s="45"/>
      <c r="AJ14" s="45"/>
      <c r="AK14" s="45"/>
    </row>
    <row r="15" spans="1:51" ht="13.4" customHeight="1" thickBot="1" x14ac:dyDescent="0.4">
      <c r="B15" s="36"/>
      <c r="C15" s="36"/>
      <c r="D15" s="77"/>
      <c r="E15" s="77"/>
      <c r="F15" s="239"/>
      <c r="G15" s="77"/>
      <c r="H15" s="77"/>
      <c r="I15" s="77"/>
      <c r="J15" s="77"/>
      <c r="K15" s="77"/>
      <c r="L15" s="77"/>
      <c r="M15" s="77"/>
      <c r="N15" s="77"/>
      <c r="O15" s="77"/>
      <c r="P15" s="77"/>
      <c r="Q15" s="77"/>
      <c r="R15" s="77"/>
      <c r="S15" s="1016" t="s">
        <v>402</v>
      </c>
      <c r="T15" s="1016"/>
      <c r="U15" s="1017"/>
      <c r="V15" s="357">
        <f>'user page'!Q16</f>
        <v>4.82803</v>
      </c>
      <c r="W15" s="77"/>
      <c r="X15" s="77"/>
      <c r="Y15" s="1016" t="s">
        <v>402</v>
      </c>
      <c r="Z15" s="1016"/>
      <c r="AA15" s="1017"/>
      <c r="AB15" s="357">
        <f>'user page'!Q17</f>
        <v>19.312100000000001</v>
      </c>
      <c r="AC15" s="77"/>
      <c r="AD15" s="77"/>
      <c r="AE15" s="77"/>
      <c r="AF15" s="77"/>
      <c r="AG15" s="77"/>
      <c r="AH15" s="77"/>
      <c r="AI15" s="77"/>
      <c r="AJ15" s="77"/>
      <c r="AK15" s="77"/>
    </row>
    <row r="16" spans="1:51" ht="13.4" customHeight="1" x14ac:dyDescent="0.35">
      <c r="A16" s="1030" t="s">
        <v>21</v>
      </c>
      <c r="B16" s="1031"/>
      <c r="C16" s="195">
        <f>EXP(NORMINV(P17,LN(C17),LN((C17*C20))))</f>
        <v>4.6546582347234056</v>
      </c>
      <c r="D16" s="66"/>
      <c r="E16" s="84"/>
      <c r="F16" s="345"/>
      <c r="G16" s="84"/>
      <c r="H16" s="85"/>
      <c r="I16" s="141"/>
      <c r="J16" s="327" t="s">
        <v>113</v>
      </c>
      <c r="K16" s="141"/>
      <c r="L16" s="141"/>
      <c r="M16" s="358"/>
      <c r="N16" s="176"/>
      <c r="O16" s="175" t="s">
        <v>20</v>
      </c>
      <c r="P16" s="358"/>
      <c r="Q16" s="358"/>
      <c r="R16" s="358"/>
      <c r="S16" s="358"/>
      <c r="T16" s="175" t="s">
        <v>109</v>
      </c>
      <c r="U16" s="176"/>
      <c r="V16" s="176"/>
      <c r="W16" s="358"/>
      <c r="X16" s="358"/>
      <c r="Y16" s="177" t="s">
        <v>110</v>
      </c>
      <c r="Z16" s="178"/>
      <c r="AA16" s="178"/>
      <c r="AB16" s="358"/>
      <c r="AC16" s="358"/>
      <c r="AD16" s="177" t="s">
        <v>108</v>
      </c>
      <c r="AE16" s="178"/>
      <c r="AF16" s="178"/>
      <c r="AG16" s="359"/>
      <c r="AH16" s="360"/>
      <c r="AI16" s="177" t="s">
        <v>111</v>
      </c>
      <c r="AJ16" s="178"/>
      <c r="AK16" s="178"/>
      <c r="AL16" s="359"/>
      <c r="AM16" s="178"/>
      <c r="AN16" s="177" t="s">
        <v>112</v>
      </c>
      <c r="AO16" s="359"/>
      <c r="AP16" s="359"/>
      <c r="AQ16" s="359"/>
      <c r="AR16" s="362"/>
      <c r="AY16" s="64"/>
    </row>
    <row r="17" spans="1:52" ht="13.4" customHeight="1" thickBot="1" x14ac:dyDescent="0.4">
      <c r="A17" s="1028" t="s">
        <v>22</v>
      </c>
      <c r="B17" s="1029"/>
      <c r="C17" s="86">
        <f>C18+C19</f>
        <v>44.167294459398988</v>
      </c>
      <c r="D17" s="67" t="s">
        <v>116</v>
      </c>
      <c r="E17" s="68" t="s">
        <v>66</v>
      </c>
      <c r="F17" s="346" t="s">
        <v>15</v>
      </c>
      <c r="G17" s="69" t="s">
        <v>0</v>
      </c>
      <c r="H17" s="69" t="s">
        <v>85</v>
      </c>
      <c r="I17" s="69" t="s">
        <v>86</v>
      </c>
      <c r="J17" s="199">
        <v>0.1</v>
      </c>
      <c r="K17" s="70">
        <v>0.3</v>
      </c>
      <c r="L17" s="70">
        <v>0.5</v>
      </c>
      <c r="M17" s="70">
        <v>0.7</v>
      </c>
      <c r="N17" s="70">
        <v>0.9</v>
      </c>
      <c r="O17" s="199">
        <v>0.1</v>
      </c>
      <c r="P17" s="70">
        <v>0.3</v>
      </c>
      <c r="Q17" s="70">
        <v>0.5</v>
      </c>
      <c r="R17" s="70">
        <v>0.7</v>
      </c>
      <c r="S17" s="70">
        <v>0.9</v>
      </c>
      <c r="T17" s="199">
        <v>0.1</v>
      </c>
      <c r="U17" s="70">
        <v>0.3</v>
      </c>
      <c r="V17" s="70">
        <v>0.5</v>
      </c>
      <c r="W17" s="70">
        <v>0.7</v>
      </c>
      <c r="X17" s="70">
        <v>0.9</v>
      </c>
      <c r="Y17" s="199">
        <v>0.1</v>
      </c>
      <c r="Z17" s="70">
        <v>0.3</v>
      </c>
      <c r="AA17" s="70">
        <v>0.5</v>
      </c>
      <c r="AB17" s="70">
        <v>0.7</v>
      </c>
      <c r="AC17" s="70">
        <v>0.9</v>
      </c>
      <c r="AD17" s="199">
        <v>0.1</v>
      </c>
      <c r="AE17" s="70">
        <v>0.3</v>
      </c>
      <c r="AF17" s="70">
        <v>0.5</v>
      </c>
      <c r="AG17" s="70">
        <v>0.7</v>
      </c>
      <c r="AH17" s="70">
        <v>0.9</v>
      </c>
      <c r="AI17" s="199">
        <v>0.1</v>
      </c>
      <c r="AJ17" s="70">
        <v>0.3</v>
      </c>
      <c r="AK17" s="70">
        <v>0.5</v>
      </c>
      <c r="AL17" s="70">
        <v>0.7</v>
      </c>
      <c r="AM17" s="70">
        <v>0.9</v>
      </c>
      <c r="AN17" s="363">
        <v>0.1</v>
      </c>
      <c r="AO17" s="70">
        <v>0.3</v>
      </c>
      <c r="AP17" s="70">
        <v>0.5</v>
      </c>
      <c r="AQ17" s="70">
        <v>0.7</v>
      </c>
      <c r="AR17" s="361">
        <v>0.9</v>
      </c>
      <c r="AS17" s="213"/>
      <c r="AT17" s="213"/>
      <c r="AU17" s="213"/>
      <c r="AV17" s="213"/>
      <c r="AW17" s="213"/>
      <c r="AX17" s="64"/>
      <c r="AY17" s="64"/>
      <c r="AZ17" s="64"/>
    </row>
    <row r="18" spans="1:52" ht="13.4" customHeight="1" thickBot="1" x14ac:dyDescent="0.4">
      <c r="A18" s="1028" t="s">
        <v>87</v>
      </c>
      <c r="B18" s="1029"/>
      <c r="C18" s="86">
        <f>IF('user page'!R41=0,'user page'!C7*7,'user page'!Q7*7)</f>
        <v>39.770949088223887</v>
      </c>
      <c r="D18" s="66" t="s">
        <v>72</v>
      </c>
      <c r="E18" s="63"/>
      <c r="F18" s="347">
        <f>C17</f>
        <v>44.167294459398988</v>
      </c>
      <c r="G18" s="75">
        <f>F18*Scenario!$C$20</f>
        <v>73.027422033480306</v>
      </c>
      <c r="H18" s="180">
        <f t="shared" ref="H18:H34" si="16">LN(F18)-(1/2*(LN(1+(G18/F18)^2)))</f>
        <v>3.1292682894055526</v>
      </c>
      <c r="I18" s="75">
        <f t="shared" ref="I18:I34" si="17">SQRT((LN(1+(G18/F18)^2)))</f>
        <v>1.1477946518664963</v>
      </c>
      <c r="J18" s="191">
        <f>NORMINV(O$17,$H18,$I18)</f>
        <v>1.6583102563823244</v>
      </c>
      <c r="K18" s="181">
        <f>NORMINV(P$17,$H18,$I18)</f>
        <v>2.5273641854832145</v>
      </c>
      <c r="L18" s="181">
        <f>NORMINV(Q$17,$H18,$I18)</f>
        <v>3.1292682894055526</v>
      </c>
      <c r="M18" s="181">
        <f>NORMINV(R$17,$H18,$I18)</f>
        <v>3.7311723933278902</v>
      </c>
      <c r="N18" s="181">
        <f>NORMINV(S$17,$H18,$I18)</f>
        <v>4.6002263224287807</v>
      </c>
      <c r="O18" s="135">
        <f t="shared" ref="O18:O34" si="18">EXP(J18)</f>
        <v>5.2504314615671239</v>
      </c>
      <c r="P18" s="75">
        <f t="shared" ref="P18:P34" si="19">EXP(K18)</f>
        <v>12.520460992523777</v>
      </c>
      <c r="Q18" s="401">
        <f t="shared" ref="Q18:Q34" si="20">EXP(L18)</f>
        <v>22.857248531148024</v>
      </c>
      <c r="R18" s="329">
        <f t="shared" ref="R18:R34" si="21">EXP(M18)</f>
        <v>41.728001127645072</v>
      </c>
      <c r="S18" s="329">
        <f t="shared" ref="S18:S34" si="22">EXP(N18)</f>
        <v>99.506833721952646</v>
      </c>
      <c r="T18" s="136">
        <f>O18*(1-($C$19/$C$17))</f>
        <v>4.7278114927584918</v>
      </c>
      <c r="U18" s="329">
        <f>P18*(1-($C$19/$C$17))</f>
        <v>11.274193332183838</v>
      </c>
      <c r="V18" s="401">
        <f>Q18*(1-($C$19/$C$17))</f>
        <v>20.582072747625986</v>
      </c>
      <c r="W18" s="329">
        <f>R18*(1-($C$19/$C$17))</f>
        <v>37.574459307813889</v>
      </c>
      <c r="X18" s="329">
        <f>S18*(1-($C$19/$C$17))</f>
        <v>89.602074709920785</v>
      </c>
      <c r="Y18" s="136">
        <f t="shared" ref="Y18:Y34" si="23">O18-T18</f>
        <v>0.52261996880863215</v>
      </c>
      <c r="Z18" s="329">
        <f t="shared" ref="Z18:Z34" si="24">P18-U18</f>
        <v>1.2462676603399387</v>
      </c>
      <c r="AA18" s="329">
        <f t="shared" ref="AA18:AA34" si="25">Q18-V18</f>
        <v>2.2751757835220374</v>
      </c>
      <c r="AB18" s="329">
        <f t="shared" ref="AB18:AB34" si="26">R18-W18</f>
        <v>4.1535418198311831</v>
      </c>
      <c r="AC18" s="329">
        <f t="shared" ref="AC18:AC34" si="27">S18-X18</f>
        <v>9.9047590120318603</v>
      </c>
      <c r="AD18" s="136"/>
      <c r="AE18" s="329"/>
      <c r="AF18" s="329"/>
      <c r="AI18" s="135"/>
      <c r="AJ18" s="75"/>
      <c r="AK18" s="75"/>
      <c r="AL18" s="356"/>
      <c r="AN18" s="135"/>
      <c r="AO18" s="75"/>
      <c r="AP18" s="75"/>
      <c r="AQ18" s="356"/>
      <c r="AX18" s="64"/>
      <c r="AY18" s="64"/>
      <c r="AZ18" s="64"/>
    </row>
    <row r="19" spans="1:52" ht="13.4" customHeight="1" x14ac:dyDescent="0.35">
      <c r="A19" s="1028" t="s">
        <v>88</v>
      </c>
      <c r="B19" s="1029"/>
      <c r="C19" s="86">
        <f>IF('user page'!R41=0,'user page'!C8*7,'user page'!Q8*7)</f>
        <v>4.3963453711751024</v>
      </c>
      <c r="D19" s="66" t="s">
        <v>114</v>
      </c>
      <c r="E19" s="60" t="s">
        <v>2</v>
      </c>
      <c r="F19" s="239">
        <f>H6+N6</f>
        <v>33.467039417671508</v>
      </c>
      <c r="G19" s="77">
        <f>F19*Scenario!$C$20</f>
        <v>55.3353254184969</v>
      </c>
      <c r="H19" s="181">
        <f t="shared" si="16"/>
        <v>2.8518447750790585</v>
      </c>
      <c r="I19" s="77">
        <f t="shared" si="17"/>
        <v>1.1477946518664963</v>
      </c>
      <c r="J19" s="191">
        <f t="shared" ref="J19:J34" si="28">NORMINV(O$17,$H19,$I19)</f>
        <v>1.3808867420558304</v>
      </c>
      <c r="K19" s="181">
        <f t="shared" ref="K19:K34" si="29">NORMINV(P$17,$H19,$I19)</f>
        <v>2.2499406711567205</v>
      </c>
      <c r="L19" s="181">
        <f t="shared" ref="L19:L34" si="30">NORMINV(Q$17,$H19,$I19)</f>
        <v>2.8518447750790585</v>
      </c>
      <c r="M19" s="181">
        <f t="shared" ref="M19:M34" si="31">NORMINV(R$17,$H19,$I19)</f>
        <v>3.4537488790013962</v>
      </c>
      <c r="N19" s="181">
        <f t="shared" ref="N19:N34" si="32">NORMINV(S$17,$H19,$I19)</f>
        <v>4.3228028081022867</v>
      </c>
      <c r="O19" s="136">
        <f t="shared" si="18"/>
        <v>3.9784279031530372</v>
      </c>
      <c r="P19" s="77">
        <f t="shared" si="19"/>
        <v>9.4871729566636791</v>
      </c>
      <c r="Q19" s="329">
        <f t="shared" si="20"/>
        <v>17.319703344623978</v>
      </c>
      <c r="R19" s="329">
        <f t="shared" si="21"/>
        <v>31.618705099613685</v>
      </c>
      <c r="S19" s="329">
        <f t="shared" si="22"/>
        <v>75.399663195615815</v>
      </c>
      <c r="T19" s="136">
        <f>O19*(1-Scenario!$P6)</f>
        <v>3.9427203142375129</v>
      </c>
      <c r="U19" s="329">
        <f>P19*(1-Scenario!$P6)</f>
        <v>9.4020227214065457</v>
      </c>
      <c r="V19" s="329">
        <f>Q19*(1-Scenario!$P6)</f>
        <v>17.164253789617959</v>
      </c>
      <c r="W19" s="329">
        <f>R19*(1-Scenario!$P6)</f>
        <v>31.334917696342306</v>
      </c>
      <c r="X19" s="329">
        <f>S19*(1-Scenario!$P6)</f>
        <v>74.722928504602748</v>
      </c>
      <c r="Y19" s="136">
        <f t="shared" si="23"/>
        <v>3.570758891552428E-2</v>
      </c>
      <c r="Z19" s="329">
        <f t="shared" si="24"/>
        <v>8.5150235257133389E-2</v>
      </c>
      <c r="AA19" s="329">
        <f t="shared" si="25"/>
        <v>0.15544955500601887</v>
      </c>
      <c r="AB19" s="329">
        <f t="shared" si="26"/>
        <v>0.28378740327137919</v>
      </c>
      <c r="AC19" s="329">
        <f t="shared" si="27"/>
        <v>0.67673469101306694</v>
      </c>
      <c r="AD19" s="191">
        <f>T19*Scenario!$AD6/60</f>
        <v>0.26524567966923446</v>
      </c>
      <c r="AE19" s="181">
        <f>U19*Scenario!$AD6/60</f>
        <v>0.6325191005812828</v>
      </c>
      <c r="AF19" s="181">
        <f>V19*Scenario!$AD6/60</f>
        <v>1.1547215626738943</v>
      </c>
      <c r="AG19" s="181">
        <f>W19*Scenario!$AD6/60</f>
        <v>2.1080499957687708</v>
      </c>
      <c r="AH19" s="181">
        <f>X19*Scenario!$AD6/60</f>
        <v>5.0269692949072313</v>
      </c>
      <c r="AI19" s="191">
        <f>Y19*Scenario!$AF6/60</f>
        <v>3.5707588915524281E-3</v>
      </c>
      <c r="AJ19" s="181">
        <f>Z19*Scenario!$AF6/60</f>
        <v>8.5150235257133392E-3</v>
      </c>
      <c r="AK19" s="181">
        <f>AA19*Scenario!$AF6/60</f>
        <v>1.5544955500601887E-2</v>
      </c>
      <c r="AL19" s="181">
        <f>AB19*Scenario!$AF6/60</f>
        <v>2.837874032713792E-2</v>
      </c>
      <c r="AM19" s="181">
        <f>AC19*Scenario!$AF6/60</f>
        <v>6.7673469101306699E-2</v>
      </c>
      <c r="AN19" s="191">
        <f>AD19+AI19</f>
        <v>0.26881643856078691</v>
      </c>
      <c r="AO19" s="181">
        <f>AE19+AJ19</f>
        <v>0.64103412410699612</v>
      </c>
      <c r="AP19" s="181">
        <f>AF19+AK19</f>
        <v>1.1702665181744962</v>
      </c>
      <c r="AQ19" s="181">
        <f>AG19+AL19</f>
        <v>2.1364287360959087</v>
      </c>
      <c r="AR19" s="181">
        <f>AH19+AM19</f>
        <v>5.0946427640085377</v>
      </c>
    </row>
    <row r="20" spans="1:52" ht="13.4" customHeight="1" thickBot="1" x14ac:dyDescent="0.4">
      <c r="A20" s="1028" t="s">
        <v>27</v>
      </c>
      <c r="B20" s="1029"/>
      <c r="C20" s="238">
        <f>IF('user page'!R41=0,C24,C25)</f>
        <v>1.6534275628001425</v>
      </c>
      <c r="D20" s="71"/>
      <c r="E20" s="60" t="s">
        <v>3</v>
      </c>
      <c r="F20" s="239">
        <f t="shared" ref="F20:F26" si="33">H7+N7</f>
        <v>55.485634959311227</v>
      </c>
      <c r="G20" s="77">
        <f>F20*Scenario!$C$20</f>
        <v>91.741478181192349</v>
      </c>
      <c r="H20" s="181">
        <f t="shared" si="16"/>
        <v>3.3574078762616111</v>
      </c>
      <c r="I20" s="77">
        <f t="shared" si="17"/>
        <v>1.1477946518664963</v>
      </c>
      <c r="J20" s="191">
        <f t="shared" si="28"/>
        <v>1.8864498432383829</v>
      </c>
      <c r="K20" s="181">
        <f t="shared" si="29"/>
        <v>2.755503772339273</v>
      </c>
      <c r="L20" s="181">
        <f t="shared" si="30"/>
        <v>3.3574078762616111</v>
      </c>
      <c r="M20" s="181">
        <f t="shared" si="31"/>
        <v>3.9593119801839487</v>
      </c>
      <c r="N20" s="181">
        <f t="shared" si="32"/>
        <v>4.8283659092848392</v>
      </c>
      <c r="O20" s="136">
        <f t="shared" si="18"/>
        <v>6.5959105492231798</v>
      </c>
      <c r="P20" s="77">
        <f t="shared" si="19"/>
        <v>15.728962723584564</v>
      </c>
      <c r="Q20" s="329">
        <f t="shared" si="20"/>
        <v>28.714662369445705</v>
      </c>
      <c r="R20" s="329">
        <f t="shared" si="21"/>
        <v>52.421246682397467</v>
      </c>
      <c r="S20" s="329">
        <f t="shared" si="22"/>
        <v>125.00652166793995</v>
      </c>
      <c r="T20" s="136">
        <f>O20*(1-Scenario!$P7)</f>
        <v>5.9374117327873712</v>
      </c>
      <c r="U20" s="329">
        <f>P20*(1-Scenario!$P7)</f>
        <v>14.158671061811919</v>
      </c>
      <c r="V20" s="329">
        <f>Q20*(1-Scenario!$P7)</f>
        <v>25.847951087731801</v>
      </c>
      <c r="W20" s="329">
        <f>R20*(1-Scenario!$P7)</f>
        <v>47.187802620528899</v>
      </c>
      <c r="X20" s="329">
        <f>S20*(1-Scenario!$P7)</f>
        <v>112.52656974154665</v>
      </c>
      <c r="Y20" s="136">
        <f t="shared" si="23"/>
        <v>0.65849881643580854</v>
      </c>
      <c r="Z20" s="329">
        <f t="shared" si="24"/>
        <v>1.5702916617726448</v>
      </c>
      <c r="AA20" s="329">
        <f t="shared" si="25"/>
        <v>2.8667112817139042</v>
      </c>
      <c r="AB20" s="329">
        <f t="shared" si="26"/>
        <v>5.2334440618685676</v>
      </c>
      <c r="AC20" s="329">
        <f t="shared" si="27"/>
        <v>12.479951926393298</v>
      </c>
      <c r="AD20" s="191">
        <f>T20*Scenario!$AD7/60</f>
        <v>0.39943812520818878</v>
      </c>
      <c r="AE20" s="181">
        <f>U20*Scenario!$AD7/60</f>
        <v>0.95252161697645277</v>
      </c>
      <c r="AF20" s="181">
        <f>V20*Scenario!$AD7/60</f>
        <v>1.7389154715247535</v>
      </c>
      <c r="AG20" s="181">
        <f>W20*Scenario!$AD7/60</f>
        <v>3.1745494939070822</v>
      </c>
      <c r="AH20" s="181">
        <f>X20*Scenario!$AD7/60</f>
        <v>7.5702013059773003</v>
      </c>
      <c r="AI20" s="191">
        <f>Y20*Scenario!$AF7/60</f>
        <v>6.5849881643580854E-2</v>
      </c>
      <c r="AJ20" s="181">
        <f>Z20*Scenario!$AF7/60</f>
        <v>0.15702916617726448</v>
      </c>
      <c r="AK20" s="181">
        <f>AA20*Scenario!$AF7/60</f>
        <v>0.2866711281713904</v>
      </c>
      <c r="AL20" s="181">
        <f>AB20*Scenario!$AF7/60</f>
        <v>0.52334440618685674</v>
      </c>
      <c r="AM20" s="181">
        <f>AC20*Scenario!$AF7/60</f>
        <v>1.2479951926393298</v>
      </c>
      <c r="AN20" s="191">
        <f t="shared" ref="AN20:AN34" si="34">AD20+AI20</f>
        <v>0.46528800685176963</v>
      </c>
      <c r="AO20" s="181">
        <f t="shared" ref="AO20:AO34" si="35">AE20+AJ20</f>
        <v>1.1095507831537172</v>
      </c>
      <c r="AP20" s="181">
        <f t="shared" ref="AP20:AP34" si="36">AF20+AK20</f>
        <v>2.025586599696144</v>
      </c>
      <c r="AQ20" s="181">
        <f t="shared" ref="AQ20:AQ34" si="37">AG20+AL20</f>
        <v>3.697893900093939</v>
      </c>
      <c r="AR20" s="181">
        <f t="shared" ref="AR20:AR34" si="38">AH20+AM20</f>
        <v>8.8181964986166292</v>
      </c>
    </row>
    <row r="21" spans="1:52" ht="13.4" customHeight="1" x14ac:dyDescent="0.35">
      <c r="A21" s="1030" t="s">
        <v>23</v>
      </c>
      <c r="B21" s="1031"/>
      <c r="C21" s="193">
        <v>2.5</v>
      </c>
      <c r="D21" s="71"/>
      <c r="E21" s="60" t="s">
        <v>4</v>
      </c>
      <c r="F21" s="239">
        <f t="shared" si="33"/>
        <v>46.08851926291301</v>
      </c>
      <c r="G21" s="77">
        <f>F21*Scenario!$C$20</f>
        <v>76.204028077945679</v>
      </c>
      <c r="H21" s="181">
        <f t="shared" si="16"/>
        <v>3.1718475977103209</v>
      </c>
      <c r="I21" s="77">
        <f t="shared" si="17"/>
        <v>1.1477946518664963</v>
      </c>
      <c r="J21" s="191">
        <f t="shared" si="28"/>
        <v>1.7008895646870927</v>
      </c>
      <c r="K21" s="181">
        <f t="shared" si="29"/>
        <v>2.5699434937879828</v>
      </c>
      <c r="L21" s="181">
        <f t="shared" si="30"/>
        <v>3.1718475977103209</v>
      </c>
      <c r="M21" s="181">
        <f t="shared" si="31"/>
        <v>3.7737517016326585</v>
      </c>
      <c r="N21" s="181">
        <f t="shared" si="32"/>
        <v>4.642805630733549</v>
      </c>
      <c r="O21" s="136">
        <f t="shared" si="18"/>
        <v>5.4788189885048642</v>
      </c>
      <c r="P21" s="77">
        <f t="shared" si="19"/>
        <v>13.065086161547402</v>
      </c>
      <c r="Q21" s="329">
        <f t="shared" si="20"/>
        <v>23.851511669871496</v>
      </c>
      <c r="R21" s="329">
        <f t="shared" si="21"/>
        <v>43.543119571026025</v>
      </c>
      <c r="S21" s="329">
        <f t="shared" si="22"/>
        <v>103.83526269650753</v>
      </c>
      <c r="T21" s="136">
        <f>O21*(1-Scenario!$P8)</f>
        <v>4.9090788894640021</v>
      </c>
      <c r="U21" s="329">
        <f>P21*(1-Scenario!$P8)</f>
        <v>11.706453306679395</v>
      </c>
      <c r="V21" s="329">
        <f>Q21*(1-Scenario!$P8)</f>
        <v>21.371202930053965</v>
      </c>
      <c r="W21" s="329">
        <f>R21*(1-Scenario!$P8)</f>
        <v>39.015088747413344</v>
      </c>
      <c r="X21" s="329">
        <f>S21*(1-Scenario!$P8)</f>
        <v>93.037477083081683</v>
      </c>
      <c r="Y21" s="136">
        <f t="shared" si="23"/>
        <v>0.56974009904086209</v>
      </c>
      <c r="Z21" s="329">
        <f t="shared" si="24"/>
        <v>1.3586328548680076</v>
      </c>
      <c r="AA21" s="329">
        <f t="shared" si="25"/>
        <v>2.4803087398175307</v>
      </c>
      <c r="AB21" s="329">
        <f t="shared" si="26"/>
        <v>4.5280308236126814</v>
      </c>
      <c r="AC21" s="329">
        <f t="shared" si="27"/>
        <v>10.797785613425845</v>
      </c>
      <c r="AD21" s="191">
        <f>T21*Scenario!$AD8/60</f>
        <v>0.31641802169791167</v>
      </c>
      <c r="AE21" s="181">
        <f>U21*Scenario!$AD8/60</f>
        <v>0.75454741710270345</v>
      </c>
      <c r="AF21" s="181">
        <f>V21*Scenario!$AD8/60</f>
        <v>1.3774954333990392</v>
      </c>
      <c r="AG21" s="181">
        <f>W21*Scenario!$AD8/60</f>
        <v>2.5147441049114785</v>
      </c>
      <c r="AH21" s="181">
        <f>X21*Scenario!$AD8/60</f>
        <v>5.9967939210705516</v>
      </c>
      <c r="AI21" s="191">
        <f>Y21*Scenario!$AF8/60</f>
        <v>5.6974009904086208E-2</v>
      </c>
      <c r="AJ21" s="181">
        <f>Z21*Scenario!$AF8/60</f>
        <v>0.13586328548680077</v>
      </c>
      <c r="AK21" s="181">
        <f>AA21*Scenario!$AF8/60</f>
        <v>0.24803087398175308</v>
      </c>
      <c r="AL21" s="181">
        <f>AB21*Scenario!$AF8/60</f>
        <v>0.45280308236126815</v>
      </c>
      <c r="AM21" s="181">
        <f>AC21*Scenario!$AF8/60</f>
        <v>1.0797785613425845</v>
      </c>
      <c r="AN21" s="191">
        <f t="shared" si="34"/>
        <v>0.37339203160199785</v>
      </c>
      <c r="AO21" s="181">
        <f t="shared" si="35"/>
        <v>0.89041070258950428</v>
      </c>
      <c r="AP21" s="181">
        <f t="shared" si="36"/>
        <v>1.6255263073807924</v>
      </c>
      <c r="AQ21" s="181">
        <f t="shared" si="37"/>
        <v>2.9675471872727468</v>
      </c>
      <c r="AR21" s="181">
        <f t="shared" si="38"/>
        <v>7.0765724824131357</v>
      </c>
    </row>
    <row r="22" spans="1:52" ht="13.4" customHeight="1" x14ac:dyDescent="0.35">
      <c r="A22" s="1030" t="s">
        <v>24</v>
      </c>
      <c r="B22" s="1031"/>
      <c r="C22" s="194"/>
      <c r="D22" s="71"/>
      <c r="E22" s="60" t="s">
        <v>5</v>
      </c>
      <c r="F22" s="239">
        <f t="shared" si="33"/>
        <v>27.860300476951146</v>
      </c>
      <c r="G22" s="77">
        <f>F22*Scenario!$C$20</f>
        <v>46.064988716484983</v>
      </c>
      <c r="H22" s="181">
        <f t="shared" si="16"/>
        <v>2.6684864721127468</v>
      </c>
      <c r="I22" s="77">
        <f t="shared" si="17"/>
        <v>1.1477946518664963</v>
      </c>
      <c r="J22" s="191">
        <f t="shared" si="28"/>
        <v>1.1975284390895187</v>
      </c>
      <c r="K22" s="181">
        <f t="shared" si="29"/>
        <v>2.0665823681904087</v>
      </c>
      <c r="L22" s="181">
        <f t="shared" si="30"/>
        <v>2.6684864721127468</v>
      </c>
      <c r="M22" s="181">
        <f t="shared" si="31"/>
        <v>3.2703905760350844</v>
      </c>
      <c r="N22" s="181">
        <f t="shared" si="32"/>
        <v>4.1394445051359749</v>
      </c>
      <c r="O22" s="136">
        <f t="shared" si="18"/>
        <v>3.3119211838380807</v>
      </c>
      <c r="P22" s="77">
        <f t="shared" si="19"/>
        <v>7.8977852193848195</v>
      </c>
      <c r="Q22" s="329">
        <f t="shared" si="20"/>
        <v>14.418130427697461</v>
      </c>
      <c r="R22" s="329">
        <f t="shared" si="21"/>
        <v>26.321617929018316</v>
      </c>
      <c r="S22" s="329">
        <f t="shared" si="22"/>
        <v>62.767944492322414</v>
      </c>
      <c r="T22" s="136">
        <f>O22*(1-Scenario!$P9)</f>
        <v>2.666848991392007</v>
      </c>
      <c r="U22" s="329">
        <f>P22*(1-Scenario!$P9)</f>
        <v>6.3595114066509248</v>
      </c>
      <c r="V22" s="329">
        <f>Q22*(1-Scenario!$P9)</f>
        <v>11.609870662533027</v>
      </c>
      <c r="W22" s="329">
        <f>R22*(1-Scenario!$P9)</f>
        <v>21.194882465306918</v>
      </c>
      <c r="X22" s="329">
        <f>S22*(1-Scenario!$P9)</f>
        <v>50.542455623027088</v>
      </c>
      <c r="Y22" s="136">
        <f t="shared" si="23"/>
        <v>0.64507219244607361</v>
      </c>
      <c r="Z22" s="329">
        <f t="shared" si="24"/>
        <v>1.5382738127338946</v>
      </c>
      <c r="AA22" s="329">
        <f t="shared" si="25"/>
        <v>2.8082597651644345</v>
      </c>
      <c r="AB22" s="329">
        <f t="shared" si="26"/>
        <v>5.1267354637113982</v>
      </c>
      <c r="AC22" s="329">
        <f t="shared" si="27"/>
        <v>12.225488869295326</v>
      </c>
      <c r="AD22" s="191">
        <f>T22*Scenario!$AD9/60</f>
        <v>0.17822463047994</v>
      </c>
      <c r="AE22" s="181">
        <f>U22*Scenario!$AD9/60</f>
        <v>0.4250040306525627</v>
      </c>
      <c r="AF22" s="181">
        <f>V22*Scenario!$AD9/60</f>
        <v>0.77588379223144877</v>
      </c>
      <c r="AG22" s="181">
        <f>W22*Scenario!$AD9/60</f>
        <v>1.4164469408046163</v>
      </c>
      <c r="AH22" s="181">
        <f>X22*Scenario!$AD9/60</f>
        <v>3.3777354871004288</v>
      </c>
      <c r="AI22" s="191">
        <f>Y22*Scenario!$AF9/60</f>
        <v>6.4507219244607367E-2</v>
      </c>
      <c r="AJ22" s="181">
        <f>Z22*Scenario!$AF9/60</f>
        <v>0.15382738127338946</v>
      </c>
      <c r="AK22" s="181">
        <f>AA22*Scenario!$AF9/60</f>
        <v>0.28082597651644348</v>
      </c>
      <c r="AL22" s="181">
        <f>AB22*Scenario!$AF9/60</f>
        <v>0.51267354637113982</v>
      </c>
      <c r="AM22" s="181">
        <f>AC22*Scenario!$AF9/60</f>
        <v>1.2225488869295327</v>
      </c>
      <c r="AN22" s="191">
        <f t="shared" si="34"/>
        <v>0.24273184972454737</v>
      </c>
      <c r="AO22" s="181">
        <f t="shared" si="35"/>
        <v>0.57883141192595211</v>
      </c>
      <c r="AP22" s="181">
        <f t="shared" si="36"/>
        <v>1.0567097687478921</v>
      </c>
      <c r="AQ22" s="181">
        <f t="shared" si="37"/>
        <v>1.9291204871757561</v>
      </c>
      <c r="AR22" s="181">
        <f t="shared" si="38"/>
        <v>4.600284374029961</v>
      </c>
    </row>
    <row r="23" spans="1:52" ht="13.4" customHeight="1" x14ac:dyDescent="0.35">
      <c r="A23" s="1028" t="s">
        <v>83</v>
      </c>
      <c r="B23" s="1029"/>
      <c r="C23" s="53">
        <f>C20*C17</f>
        <v>73.027422033480306</v>
      </c>
      <c r="D23" s="71"/>
      <c r="E23" s="60" t="s">
        <v>6</v>
      </c>
      <c r="F23" s="239">
        <f t="shared" si="33"/>
        <v>48.394302679114979</v>
      </c>
      <c r="G23" s="77">
        <f>F23*Scenario!$C$20</f>
        <v>80.01647393214148</v>
      </c>
      <c r="H23" s="181">
        <f t="shared" si="16"/>
        <v>3.2206658121257465</v>
      </c>
      <c r="I23" s="77">
        <f t="shared" si="17"/>
        <v>1.1477946518664963</v>
      </c>
      <c r="J23" s="191">
        <f t="shared" si="28"/>
        <v>1.7497077791025184</v>
      </c>
      <c r="K23" s="181">
        <f t="shared" si="29"/>
        <v>2.6187617082034085</v>
      </c>
      <c r="L23" s="181">
        <f t="shared" si="30"/>
        <v>3.2206658121257465</v>
      </c>
      <c r="M23" s="181">
        <f t="shared" si="31"/>
        <v>3.8225699160480842</v>
      </c>
      <c r="N23" s="181">
        <f t="shared" si="32"/>
        <v>4.6916238451489747</v>
      </c>
      <c r="O23" s="136">
        <f t="shared" si="18"/>
        <v>5.752921306524712</v>
      </c>
      <c r="P23" s="77">
        <f t="shared" si="19"/>
        <v>13.718725277846527</v>
      </c>
      <c r="Q23" s="329">
        <f t="shared" si="20"/>
        <v>25.044789756025857</v>
      </c>
      <c r="R23" s="329">
        <f t="shared" si="21"/>
        <v>45.721558032540287</v>
      </c>
      <c r="S23" s="329">
        <f t="shared" si="22"/>
        <v>109.03008410911995</v>
      </c>
      <c r="T23" s="136">
        <f>O23*(1-Scenario!$P10)</f>
        <v>3.9041185654666255</v>
      </c>
      <c r="U23" s="329">
        <f>P23*(1-Scenario!$P10)</f>
        <v>9.3099709170421008</v>
      </c>
      <c r="V23" s="329">
        <f>Q23*(1-Scenario!$P10)</f>
        <v>16.996204787959389</v>
      </c>
      <c r="W23" s="329">
        <f>R23*(1-Scenario!$P10)</f>
        <v>31.028128848981584</v>
      </c>
      <c r="X23" s="329">
        <f>S23*(1-Scenario!$P10)</f>
        <v>73.991343334043293</v>
      </c>
      <c r="Y23" s="136">
        <f t="shared" si="23"/>
        <v>1.8488027410580865</v>
      </c>
      <c r="Z23" s="329">
        <f t="shared" si="24"/>
        <v>4.4087543608044264</v>
      </c>
      <c r="AA23" s="329">
        <f t="shared" si="25"/>
        <v>8.0485849680664678</v>
      </c>
      <c r="AB23" s="329">
        <f t="shared" si="26"/>
        <v>14.693429183558703</v>
      </c>
      <c r="AC23" s="329">
        <f t="shared" si="27"/>
        <v>35.038740775076661</v>
      </c>
      <c r="AD23" s="191">
        <f>T23*Scenario!$AD10/60</f>
        <v>0.25613196452824588</v>
      </c>
      <c r="AE23" s="181">
        <f>U23*Scenario!$AD10/60</f>
        <v>0.61078604573522222</v>
      </c>
      <c r="AF23" s="181">
        <f>V23*Scenario!$AD10/60</f>
        <v>1.11504588010485</v>
      </c>
      <c r="AG23" s="181">
        <f>W23*Scenario!$AD10/60</f>
        <v>2.0356184025818189</v>
      </c>
      <c r="AH23" s="181">
        <f>X23*Scenario!$AD10/60</f>
        <v>4.8542450257187122</v>
      </c>
      <c r="AI23" s="191">
        <f>Y23*Scenario!$AF10/60</f>
        <v>0.18488027410580862</v>
      </c>
      <c r="AJ23" s="181">
        <f>Z23*Scenario!$AF10/60</f>
        <v>0.44087543608044266</v>
      </c>
      <c r="AK23" s="181">
        <f>AA23*Scenario!$AF10/60</f>
        <v>0.80485849680664678</v>
      </c>
      <c r="AL23" s="181">
        <f>AB23*Scenario!$AF10/60</f>
        <v>1.4693429183558702</v>
      </c>
      <c r="AM23" s="181">
        <f>AC23*Scenario!$AF10/60</f>
        <v>3.5038740775076662</v>
      </c>
      <c r="AN23" s="191">
        <f t="shared" si="34"/>
        <v>0.44101223863405448</v>
      </c>
      <c r="AO23" s="181">
        <f t="shared" si="35"/>
        <v>1.0516614818156649</v>
      </c>
      <c r="AP23" s="181">
        <f t="shared" si="36"/>
        <v>1.9199043769114967</v>
      </c>
      <c r="AQ23" s="181">
        <f t="shared" si="37"/>
        <v>3.5049613209376891</v>
      </c>
      <c r="AR23" s="181">
        <f t="shared" si="38"/>
        <v>8.3581191032263789</v>
      </c>
    </row>
    <row r="24" spans="1:52" ht="13.4" customHeight="1" x14ac:dyDescent="0.35">
      <c r="A24" s="1028" t="s">
        <v>75</v>
      </c>
      <c r="B24" s="1029"/>
      <c r="C24" s="54">
        <f>Baseline!C24</f>
        <v>1.6482562797981899</v>
      </c>
      <c r="D24" s="71"/>
      <c r="E24" s="60" t="s">
        <v>7</v>
      </c>
      <c r="F24" s="239">
        <f t="shared" si="33"/>
        <v>50.441250334633665</v>
      </c>
      <c r="G24" s="77">
        <f>F24*Scenario!$C$20</f>
        <v>83.400953605385212</v>
      </c>
      <c r="H24" s="181">
        <f t="shared" si="16"/>
        <v>3.2620930179162251</v>
      </c>
      <c r="I24" s="77">
        <f t="shared" si="17"/>
        <v>1.1477946518664963</v>
      </c>
      <c r="J24" s="191">
        <f t="shared" si="28"/>
        <v>1.7911349848929969</v>
      </c>
      <c r="K24" s="181">
        <f t="shared" si="29"/>
        <v>2.660188913993887</v>
      </c>
      <c r="L24" s="181">
        <f t="shared" si="30"/>
        <v>3.2620930179162251</v>
      </c>
      <c r="M24" s="181">
        <f t="shared" si="31"/>
        <v>3.8639971218385627</v>
      </c>
      <c r="N24" s="181">
        <f t="shared" si="32"/>
        <v>4.7330510509394532</v>
      </c>
      <c r="O24" s="136">
        <f t="shared" si="18"/>
        <v>5.9962542636882068</v>
      </c>
      <c r="P24" s="77">
        <f t="shared" si="19"/>
        <v>14.298990122871597</v>
      </c>
      <c r="Q24" s="329">
        <f t="shared" si="20"/>
        <v>26.104116388211832</v>
      </c>
      <c r="R24" s="329">
        <f t="shared" si="21"/>
        <v>47.655455843651005</v>
      </c>
      <c r="S24" s="329">
        <f t="shared" si="22"/>
        <v>113.6417607465123</v>
      </c>
      <c r="T24" s="136">
        <f>O24*(1-Scenario!$P11)</f>
        <v>5.834206416390316</v>
      </c>
      <c r="U24" s="329">
        <f>P24*(1-Scenario!$P11)</f>
        <v>13.912562118646187</v>
      </c>
      <c r="V24" s="329">
        <f>Q24*(1-Scenario!$P11)</f>
        <v>25.398656666141701</v>
      </c>
      <c r="W24" s="329">
        <f>R24*(1-Scenario!$P11)</f>
        <v>46.36757449441793</v>
      </c>
      <c r="X24" s="329">
        <f>S24*(1-Scenario!$P11)</f>
        <v>110.57060967748022</v>
      </c>
      <c r="Y24" s="136">
        <f t="shared" si="23"/>
        <v>0.16204784729789079</v>
      </c>
      <c r="Z24" s="329">
        <f t="shared" si="24"/>
        <v>0.38642800422540979</v>
      </c>
      <c r="AA24" s="329">
        <f t="shared" si="25"/>
        <v>0.70545972207013108</v>
      </c>
      <c r="AB24" s="329">
        <f t="shared" si="26"/>
        <v>1.287881349233075</v>
      </c>
      <c r="AC24" s="329">
        <f t="shared" si="27"/>
        <v>3.0711510690320836</v>
      </c>
      <c r="AD24" s="191">
        <f>T24*Scenario!$AD11/60</f>
        <v>0.37951032792104333</v>
      </c>
      <c r="AE24" s="181">
        <f>U24*Scenario!$AD11/60</f>
        <v>0.90500072075544891</v>
      </c>
      <c r="AF24" s="181">
        <f>V24*Scenario!$AD11/60</f>
        <v>1.6521617221224774</v>
      </c>
      <c r="AG24" s="181">
        <f>W24*Scenario!$AD11/60</f>
        <v>3.0161725769324743</v>
      </c>
      <c r="AH24" s="181">
        <f>X24*Scenario!$AD11/60</f>
        <v>7.192527199456368</v>
      </c>
      <c r="AI24" s="191">
        <f>Y24*Scenario!$AF11/60</f>
        <v>1.620478472978908E-2</v>
      </c>
      <c r="AJ24" s="181">
        <f>Z24*Scenario!$AF11/60</f>
        <v>3.8642800422540979E-2</v>
      </c>
      <c r="AK24" s="181">
        <f>AA24*Scenario!$AF11/60</f>
        <v>7.0545972207013113E-2</v>
      </c>
      <c r="AL24" s="181">
        <f>AB24*Scenario!$AF11/60</f>
        <v>0.12878813492330748</v>
      </c>
      <c r="AM24" s="181">
        <f>AC24*Scenario!$AF11/60</f>
        <v>0.30711510690320837</v>
      </c>
      <c r="AN24" s="191">
        <f t="shared" si="34"/>
        <v>0.39571511265083242</v>
      </c>
      <c r="AO24" s="181">
        <f t="shared" si="35"/>
        <v>0.94364352117798989</v>
      </c>
      <c r="AP24" s="181">
        <f t="shared" si="36"/>
        <v>1.7227076943294906</v>
      </c>
      <c r="AQ24" s="181">
        <f t="shared" si="37"/>
        <v>3.1449607118557816</v>
      </c>
      <c r="AR24" s="181">
        <f t="shared" si="38"/>
        <v>7.4996423063595765</v>
      </c>
    </row>
    <row r="25" spans="1:52" ht="13.4" customHeight="1" x14ac:dyDescent="0.35">
      <c r="A25" s="1028" t="s">
        <v>246</v>
      </c>
      <c r="B25" s="1029"/>
      <c r="C25" s="54">
        <f>'user page'!Q34</f>
        <v>1.6534275628001425</v>
      </c>
      <c r="D25" s="71"/>
      <c r="E25" s="60" t="s">
        <v>8</v>
      </c>
      <c r="F25" s="239">
        <f t="shared" si="33"/>
        <v>65.470668979048767</v>
      </c>
      <c r="G25" s="77">
        <f>F25*Scenario!$C$20</f>
        <v>108.2510086449235</v>
      </c>
      <c r="H25" s="181">
        <f t="shared" si="16"/>
        <v>3.5228859590747676</v>
      </c>
      <c r="I25" s="77">
        <f t="shared" si="17"/>
        <v>1.1477946518664963</v>
      </c>
      <c r="J25" s="191">
        <f t="shared" si="28"/>
        <v>2.0519279260515395</v>
      </c>
      <c r="K25" s="181">
        <f t="shared" si="29"/>
        <v>2.9209818551524296</v>
      </c>
      <c r="L25" s="181">
        <f t="shared" si="30"/>
        <v>3.5228859590747676</v>
      </c>
      <c r="M25" s="181">
        <f t="shared" si="31"/>
        <v>4.1247900629971053</v>
      </c>
      <c r="N25" s="181">
        <f t="shared" si="32"/>
        <v>4.9938439920979958</v>
      </c>
      <c r="O25" s="136">
        <f t="shared" si="18"/>
        <v>7.782891490748602</v>
      </c>
      <c r="P25" s="77">
        <f t="shared" si="19"/>
        <v>18.559501258564772</v>
      </c>
      <c r="Q25" s="329">
        <f t="shared" si="20"/>
        <v>33.882069768395866</v>
      </c>
      <c r="R25" s="329">
        <f t="shared" si="21"/>
        <v>61.85482227118964</v>
      </c>
      <c r="S25" s="329">
        <f t="shared" si="22"/>
        <v>147.50233292537197</v>
      </c>
      <c r="T25" s="136">
        <f>O25*(1-Scenario!$P12)</f>
        <v>7.4104766949159275</v>
      </c>
      <c r="U25" s="329">
        <f>P25*(1-Scenario!$P12)</f>
        <v>17.671420924902066</v>
      </c>
      <c r="V25" s="329">
        <f>Q25*(1-Scenario!$P12)</f>
        <v>32.26079776297415</v>
      </c>
      <c r="W25" s="329">
        <f>R25*(1-Scenario!$P12)</f>
        <v>58.895041701876352</v>
      </c>
      <c r="X25" s="329">
        <f>S25*(1-Scenario!$P12)</f>
        <v>140.44428113748023</v>
      </c>
      <c r="Y25" s="136">
        <f t="shared" si="23"/>
        <v>0.37241479583267445</v>
      </c>
      <c r="Z25" s="329">
        <f t="shared" si="24"/>
        <v>0.88808033366270678</v>
      </c>
      <c r="AA25" s="329">
        <f t="shared" si="25"/>
        <v>1.6212720054217158</v>
      </c>
      <c r="AB25" s="329">
        <f t="shared" si="26"/>
        <v>2.9597805693132884</v>
      </c>
      <c r="AC25" s="329">
        <f t="shared" si="27"/>
        <v>7.0580517878917419</v>
      </c>
      <c r="AD25" s="191">
        <f>T25*Scenario!$AD12/60</f>
        <v>0.4457611476749001</v>
      </c>
      <c r="AE25" s="181">
        <f>U25*Scenario!$AD12/60</f>
        <v>1.062985985494683</v>
      </c>
      <c r="AF25" s="181">
        <f>V25*Scenario!$AD12/60</f>
        <v>1.9405782958061588</v>
      </c>
      <c r="AG25" s="181">
        <f>W25*Scenario!$AD12/60</f>
        <v>3.5427034538008688</v>
      </c>
      <c r="AH25" s="181">
        <f>X25*Scenario!$AD12/60</f>
        <v>8.4481210213062763</v>
      </c>
      <c r="AI25" s="191">
        <f>Y25*Scenario!$AF12/60</f>
        <v>3.7241479583267442E-2</v>
      </c>
      <c r="AJ25" s="181">
        <f>Z25*Scenario!$AF12/60</f>
        <v>8.8808033366270675E-2</v>
      </c>
      <c r="AK25" s="181">
        <f>AA25*Scenario!$AF12/60</f>
        <v>0.16212720054217158</v>
      </c>
      <c r="AL25" s="181">
        <f>AB25*Scenario!$AF12/60</f>
        <v>0.29597805693132884</v>
      </c>
      <c r="AM25" s="181">
        <f>AC25*Scenario!$AF12/60</f>
        <v>0.70580517878917415</v>
      </c>
      <c r="AN25" s="191">
        <f t="shared" si="34"/>
        <v>0.48300262725816756</v>
      </c>
      <c r="AO25" s="181">
        <f t="shared" si="35"/>
        <v>1.1517940188609537</v>
      </c>
      <c r="AP25" s="181">
        <f t="shared" si="36"/>
        <v>2.1027054963483303</v>
      </c>
      <c r="AQ25" s="181">
        <f t="shared" si="37"/>
        <v>3.8386815107321977</v>
      </c>
      <c r="AR25" s="181">
        <f t="shared" si="38"/>
        <v>9.1539262000954498</v>
      </c>
    </row>
    <row r="26" spans="1:52" ht="13.4" customHeight="1" thickBot="1" x14ac:dyDescent="0.4">
      <c r="D26" s="71"/>
      <c r="E26" s="88" t="s">
        <v>9</v>
      </c>
      <c r="F26" s="352">
        <f t="shared" si="33"/>
        <v>32.657922639756819</v>
      </c>
      <c r="G26" s="79">
        <f>F26*Scenario!$C$20</f>
        <v>53.997509436368716</v>
      </c>
      <c r="H26" s="182">
        <f t="shared" si="16"/>
        <v>2.8273711984514804</v>
      </c>
      <c r="I26" s="79">
        <f t="shared" si="17"/>
        <v>1.1477946518664963</v>
      </c>
      <c r="J26" s="207">
        <f t="shared" si="28"/>
        <v>1.3564131654282523</v>
      </c>
      <c r="K26" s="182">
        <f t="shared" si="29"/>
        <v>2.2254670945291424</v>
      </c>
      <c r="L26" s="182">
        <f t="shared" si="30"/>
        <v>2.8273711984514804</v>
      </c>
      <c r="M26" s="182">
        <f t="shared" si="31"/>
        <v>3.4292753023738181</v>
      </c>
      <c r="N26" s="182">
        <f t="shared" si="32"/>
        <v>4.2983292314747086</v>
      </c>
      <c r="O26" s="137">
        <f t="shared" si="18"/>
        <v>3.8822433340314175</v>
      </c>
      <c r="P26" s="79">
        <f t="shared" si="19"/>
        <v>9.2578060647072427</v>
      </c>
      <c r="Q26" s="79">
        <f t="shared" si="20"/>
        <v>16.900973071242209</v>
      </c>
      <c r="R26" s="79">
        <f t="shared" si="21"/>
        <v>30.854274626013897</v>
      </c>
      <c r="S26" s="79">
        <f t="shared" si="22"/>
        <v>73.576761211986081</v>
      </c>
      <c r="T26" s="137">
        <f>O26*(1-Scenario!$P13)</f>
        <v>3.8584153287844147</v>
      </c>
      <c r="U26" s="79">
        <f>P26*(1-Scenario!$P13)</f>
        <v>9.2009845230094669</v>
      </c>
      <c r="V26" s="79">
        <f>Q26*(1-Scenario!$P13)</f>
        <v>16.797240141497483</v>
      </c>
      <c r="W26" s="79">
        <f>R26*(1-Scenario!$P13)</f>
        <v>30.66490065987518</v>
      </c>
      <c r="X26" s="79">
        <f>S26*(1-Scenario!$P13)</f>
        <v>73.125169876417701</v>
      </c>
      <c r="Y26" s="137">
        <f t="shared" si="23"/>
        <v>2.3828005247002793E-2</v>
      </c>
      <c r="Z26" s="79">
        <f t="shared" si="24"/>
        <v>5.6821541697775757E-2</v>
      </c>
      <c r="AA26" s="79">
        <f t="shared" si="25"/>
        <v>0.10373292974472648</v>
      </c>
      <c r="AB26" s="79">
        <f t="shared" si="26"/>
        <v>0.18937396613871726</v>
      </c>
      <c r="AC26" s="79">
        <f t="shared" si="27"/>
        <v>0.45159133556838071</v>
      </c>
      <c r="AD26" s="207">
        <f>T26*Scenario!$AD13/60</f>
        <v>0.23209460281352123</v>
      </c>
      <c r="AE26" s="182">
        <f>U26*Scenario!$AD13/60</f>
        <v>0.5534652613548533</v>
      </c>
      <c r="AF26" s="182">
        <f>V26*Scenario!$AD13/60</f>
        <v>1.0104015371078321</v>
      </c>
      <c r="AG26" s="182">
        <f>W26*Scenario!$AD13/60</f>
        <v>1.8445805680572134</v>
      </c>
      <c r="AH26" s="208">
        <f>X26*Scenario!$AD13/60</f>
        <v>4.3986859401902212</v>
      </c>
      <c r="AI26" s="191">
        <f>Y26*Scenario!$AF13/60</f>
        <v>2.3828005247002793E-3</v>
      </c>
      <c r="AJ26" s="181">
        <f>Z26*Scenario!$AF13/60</f>
        <v>5.6821541697775757E-3</v>
      </c>
      <c r="AK26" s="181">
        <f>AA26*Scenario!$AF13/60</f>
        <v>1.0373292974472648E-2</v>
      </c>
      <c r="AL26" s="182">
        <f>AB26*Scenario!$AF13/60</f>
        <v>1.8937396613871726E-2</v>
      </c>
      <c r="AM26" s="181">
        <f>AC26*Scenario!$AF13/60</f>
        <v>4.5159133556838073E-2</v>
      </c>
      <c r="AN26" s="207">
        <f t="shared" si="34"/>
        <v>0.23447740333822151</v>
      </c>
      <c r="AO26" s="182">
        <f t="shared" si="35"/>
        <v>0.55914741552463088</v>
      </c>
      <c r="AP26" s="182">
        <f t="shared" si="36"/>
        <v>1.0207748300823047</v>
      </c>
      <c r="AQ26" s="182">
        <f t="shared" si="37"/>
        <v>1.8635179646710851</v>
      </c>
      <c r="AR26" s="182">
        <f t="shared" si="38"/>
        <v>4.4438450737470596</v>
      </c>
    </row>
    <row r="27" spans="1:52" ht="13.4" customHeight="1" x14ac:dyDescent="0.35">
      <c r="D27" s="66" t="s">
        <v>115</v>
      </c>
      <c r="E27" s="60" t="s">
        <v>2</v>
      </c>
      <c r="F27" s="239">
        <f>I6+O6</f>
        <v>16.945703255470175</v>
      </c>
      <c r="G27" s="329">
        <f>F27*Scenario!$C$20</f>
        <v>28.018492833626492</v>
      </c>
      <c r="H27" s="181">
        <f t="shared" si="16"/>
        <v>2.1712980250119438</v>
      </c>
      <c r="I27" s="329">
        <f t="shared" si="17"/>
        <v>1.1477946518664963</v>
      </c>
      <c r="J27" s="191">
        <f t="shared" si="28"/>
        <v>0.70033999198871566</v>
      </c>
      <c r="K27" s="181">
        <f t="shared" si="29"/>
        <v>1.5693939210896057</v>
      </c>
      <c r="L27" s="181">
        <f t="shared" si="30"/>
        <v>2.1712980250119438</v>
      </c>
      <c r="M27" s="181">
        <f t="shared" si="31"/>
        <v>2.7732021289342814</v>
      </c>
      <c r="N27" s="181">
        <f t="shared" si="32"/>
        <v>3.6422560580351719</v>
      </c>
      <c r="O27" s="135">
        <f t="shared" si="18"/>
        <v>2.0144374836608838</v>
      </c>
      <c r="P27" s="329">
        <f t="shared" si="19"/>
        <v>4.8037358683139164</v>
      </c>
      <c r="Q27" s="329">
        <f t="shared" si="20"/>
        <v>8.7696598939611956</v>
      </c>
      <c r="R27" s="329">
        <f t="shared" si="21"/>
        <v>16.009817517869759</v>
      </c>
      <c r="S27" s="329">
        <f t="shared" si="22"/>
        <v>38.177871132534094</v>
      </c>
      <c r="T27" s="136">
        <f>O27*(1-Scenario!$Q6)</f>
        <v>1.9353246516096942</v>
      </c>
      <c r="U27" s="329">
        <f>P27*(1-Scenario!$Q6)</f>
        <v>4.6150791579167567</v>
      </c>
      <c r="V27" s="329">
        <f>Q27*(1-Scenario!$Q6)</f>
        <v>8.4252497864426648</v>
      </c>
      <c r="W27" s="329">
        <f>R27*(1-Scenario!$Q6)</f>
        <v>15.381065315463541</v>
      </c>
      <c r="X27" s="329">
        <f>S27*(1-Scenario!$Q6)</f>
        <v>36.678514844995618</v>
      </c>
      <c r="Y27" s="136">
        <f t="shared" si="23"/>
        <v>7.9112832051189574E-2</v>
      </c>
      <c r="Z27" s="329">
        <f t="shared" si="24"/>
        <v>0.1886567103971597</v>
      </c>
      <c r="AA27" s="329">
        <f t="shared" si="25"/>
        <v>0.34441010751853085</v>
      </c>
      <c r="AB27" s="329">
        <f t="shared" si="26"/>
        <v>0.62875220240621843</v>
      </c>
      <c r="AC27" s="329">
        <f t="shared" si="27"/>
        <v>1.4993562875384754</v>
      </c>
      <c r="AD27" s="191">
        <f>T27*Scenario!$AE6/60</f>
        <v>0.10736996272290719</v>
      </c>
      <c r="AE27" s="181">
        <f>U27*Scenario!$AE6/60</f>
        <v>0.25604018257951794</v>
      </c>
      <c r="AF27" s="181">
        <f>V27*Scenario!$AE6/60</f>
        <v>0.46742480893276467</v>
      </c>
      <c r="AG27" s="181">
        <f>W27*Scenario!$AE6/60</f>
        <v>0.8533268091151146</v>
      </c>
      <c r="AH27" s="181">
        <f>X27*Scenario!$AE6/60</f>
        <v>2.0348889620990609</v>
      </c>
      <c r="AI27" s="209">
        <f>Y27*Scenario!$AG6/60</f>
        <v>7.9112832051189581E-3</v>
      </c>
      <c r="AJ27" s="180">
        <f>Z27*Scenario!$AG6/60</f>
        <v>1.8865671039715971E-2</v>
      </c>
      <c r="AK27" s="180">
        <f>AA27*Scenario!$AG6/60</f>
        <v>3.4441010751853088E-2</v>
      </c>
      <c r="AL27" s="181">
        <f>AB27*Scenario!$AG6/60</f>
        <v>6.2875220240621837E-2</v>
      </c>
      <c r="AM27" s="180">
        <f>AC27*Scenario!$AG6/60</f>
        <v>0.14993562875384753</v>
      </c>
      <c r="AN27" s="191">
        <f t="shared" si="34"/>
        <v>0.11528124592802615</v>
      </c>
      <c r="AO27" s="181">
        <f t="shared" si="35"/>
        <v>0.27490585361923392</v>
      </c>
      <c r="AP27" s="181">
        <f t="shared" si="36"/>
        <v>0.50186581968461774</v>
      </c>
      <c r="AQ27" s="181">
        <f t="shared" si="37"/>
        <v>0.91620202935573647</v>
      </c>
      <c r="AR27" s="181">
        <f t="shared" si="38"/>
        <v>2.1848245908529083</v>
      </c>
    </row>
    <row r="28" spans="1:52" ht="13.4" customHeight="1" x14ac:dyDescent="0.35">
      <c r="D28" s="71"/>
      <c r="E28" s="60" t="s">
        <v>3</v>
      </c>
      <c r="F28" s="239">
        <f t="shared" ref="F28:F34" si="39">I7+O7</f>
        <v>52.815766148244663</v>
      </c>
      <c r="G28" s="77">
        <f>F28*Scenario!$C$20</f>
        <v>87.327043499914438</v>
      </c>
      <c r="H28" s="181">
        <f t="shared" si="16"/>
        <v>3.3080934660055696</v>
      </c>
      <c r="I28" s="77">
        <f t="shared" si="17"/>
        <v>1.1477946518664963</v>
      </c>
      <c r="J28" s="191">
        <f t="shared" si="28"/>
        <v>1.8371354329823415</v>
      </c>
      <c r="K28" s="181">
        <f t="shared" si="29"/>
        <v>2.7061893620832316</v>
      </c>
      <c r="L28" s="181">
        <f t="shared" si="30"/>
        <v>3.3080934660055696</v>
      </c>
      <c r="M28" s="181">
        <f t="shared" si="31"/>
        <v>3.9099975699279073</v>
      </c>
      <c r="N28" s="181">
        <f t="shared" si="32"/>
        <v>4.7790514990287978</v>
      </c>
      <c r="O28" s="136">
        <f t="shared" si="18"/>
        <v>6.2785272144398663</v>
      </c>
      <c r="P28" s="329">
        <f t="shared" si="19"/>
        <v>14.972113369027802</v>
      </c>
      <c r="Q28" s="329">
        <f t="shared" si="20"/>
        <v>27.332964538345657</v>
      </c>
      <c r="R28" s="329">
        <f t="shared" si="21"/>
        <v>49.898830715504545</v>
      </c>
      <c r="S28" s="329">
        <f t="shared" si="22"/>
        <v>118.99143301254485</v>
      </c>
      <c r="T28" s="136">
        <f>O28*(1-Scenario!$Q7)</f>
        <v>5.8728524410703198</v>
      </c>
      <c r="U28" s="329">
        <f>P28*(1-Scenario!$Q7)</f>
        <v>14.004719505722651</v>
      </c>
      <c r="V28" s="329">
        <f>Q28*(1-Scenario!$Q7)</f>
        <v>25.566898418713418</v>
      </c>
      <c r="W28" s="329">
        <f>R28*(1-Scenario!$Q7)</f>
        <v>46.674715226228358</v>
      </c>
      <c r="X28" s="329">
        <f>S28*(1-Scenario!$Q7)</f>
        <v>111.30303397060676</v>
      </c>
      <c r="Y28" s="136">
        <f t="shared" si="23"/>
        <v>0.40567477336954649</v>
      </c>
      <c r="Z28" s="329">
        <f t="shared" si="24"/>
        <v>0.96739386330515131</v>
      </c>
      <c r="AA28" s="329">
        <f t="shared" si="25"/>
        <v>1.7660661196322387</v>
      </c>
      <c r="AB28" s="329">
        <f t="shared" si="26"/>
        <v>3.224115489276187</v>
      </c>
      <c r="AC28" s="329">
        <f t="shared" si="27"/>
        <v>7.6883990419380837</v>
      </c>
      <c r="AD28" s="191">
        <f>T28*Scenario!$AE7/60</f>
        <v>0.32582024269177978</v>
      </c>
      <c r="AE28" s="181">
        <f>U28*Scenario!$AE7/60</f>
        <v>0.77696845850825624</v>
      </c>
      <c r="AF28" s="181">
        <f>V28*Scenario!$AE7/60</f>
        <v>1.4184270984583287</v>
      </c>
      <c r="AG28" s="181">
        <f>W28*Scenario!$AE7/60</f>
        <v>2.5894686091939123</v>
      </c>
      <c r="AH28" s="181">
        <f>X28*Scenario!$AE7/60</f>
        <v>6.1749859892657719</v>
      </c>
      <c r="AI28" s="191">
        <f>Y28*Scenario!$AG7/60</f>
        <v>4.0567477336954649E-2</v>
      </c>
      <c r="AJ28" s="181">
        <f>Z28*Scenario!$AG7/60</f>
        <v>9.6739386330515126E-2</v>
      </c>
      <c r="AK28" s="181">
        <f>AA28*Scenario!$AG7/60</f>
        <v>0.17660661196322386</v>
      </c>
      <c r="AL28" s="181">
        <f>AB28*Scenario!$AG7/60</f>
        <v>0.3224115489276187</v>
      </c>
      <c r="AM28" s="181">
        <f>AC28*Scenario!$AG7/60</f>
        <v>0.76883990419380832</v>
      </c>
      <c r="AN28" s="191">
        <f t="shared" si="34"/>
        <v>0.36638772002873443</v>
      </c>
      <c r="AO28" s="181">
        <f t="shared" si="35"/>
        <v>0.8737078448387714</v>
      </c>
      <c r="AP28" s="181">
        <f t="shared" si="36"/>
        <v>1.5950337104215526</v>
      </c>
      <c r="AQ28" s="181">
        <f t="shared" si="37"/>
        <v>2.911880158121531</v>
      </c>
      <c r="AR28" s="181">
        <f t="shared" si="38"/>
        <v>6.9438258934595805</v>
      </c>
    </row>
    <row r="29" spans="1:52" ht="13.4" customHeight="1" x14ac:dyDescent="0.35">
      <c r="D29" s="71"/>
      <c r="E29" s="60" t="s">
        <v>4</v>
      </c>
      <c r="F29" s="239">
        <f t="shared" si="39"/>
        <v>47.177154579809304</v>
      </c>
      <c r="G29" s="77">
        <f>F29*Scenario!$C$20</f>
        <v>78.004007716739679</v>
      </c>
      <c r="H29" s="181">
        <f t="shared" si="16"/>
        <v>3.1951934808530407</v>
      </c>
      <c r="I29" s="77">
        <f t="shared" si="17"/>
        <v>1.1477946518664963</v>
      </c>
      <c r="J29" s="191">
        <f t="shared" si="28"/>
        <v>1.7242354478298125</v>
      </c>
      <c r="K29" s="181">
        <f t="shared" si="29"/>
        <v>2.5932893769307026</v>
      </c>
      <c r="L29" s="181">
        <f t="shared" si="30"/>
        <v>3.1951934808530407</v>
      </c>
      <c r="M29" s="181">
        <f t="shared" si="31"/>
        <v>3.7970975847753783</v>
      </c>
      <c r="N29" s="181">
        <f t="shared" si="32"/>
        <v>4.6661515138762688</v>
      </c>
      <c r="O29" s="136">
        <f t="shared" si="18"/>
        <v>5.6082316045132918</v>
      </c>
      <c r="P29" s="329">
        <f t="shared" si="19"/>
        <v>13.373690439602365</v>
      </c>
      <c r="Q29" s="329">
        <f t="shared" si="20"/>
        <v>24.414897050448921</v>
      </c>
      <c r="R29" s="329">
        <f t="shared" si="21"/>
        <v>44.57163119454875</v>
      </c>
      <c r="S29" s="329">
        <f t="shared" si="22"/>
        <v>106.2879067805101</v>
      </c>
      <c r="T29" s="136">
        <f>O29*(1-Scenario!$Q8)</f>
        <v>5.3699515520432648</v>
      </c>
      <c r="U29" s="329">
        <f>P29*(1-Scenario!$Q8)</f>
        <v>12.805475022624609</v>
      </c>
      <c r="V29" s="329">
        <f>Q29*(1-Scenario!$Q8)</f>
        <v>23.377567753001664</v>
      </c>
      <c r="W29" s="329">
        <f>R29*(1-Scenario!$Q8)</f>
        <v>42.677891533161592</v>
      </c>
      <c r="X29" s="329">
        <f>S29*(1-Scenario!$Q8)</f>
        <v>101.77199342482635</v>
      </c>
      <c r="Y29" s="136">
        <f t="shared" si="23"/>
        <v>0.23828005247002704</v>
      </c>
      <c r="Z29" s="329">
        <f t="shared" si="24"/>
        <v>0.56821541697775579</v>
      </c>
      <c r="AA29" s="329">
        <f t="shared" si="25"/>
        <v>1.0373292974472577</v>
      </c>
      <c r="AB29" s="329">
        <f t="shared" si="26"/>
        <v>1.8937396613871584</v>
      </c>
      <c r="AC29" s="329">
        <f t="shared" si="27"/>
        <v>4.5159133556837503</v>
      </c>
      <c r="AD29" s="191">
        <f>T29*Scenario!$AE8/60</f>
        <v>0.33935140589416884</v>
      </c>
      <c r="AE29" s="181">
        <f>U29*Scenario!$AE8/60</f>
        <v>0.80923559737086304</v>
      </c>
      <c r="AF29" s="181">
        <f>V29*Scenario!$AE8/60</f>
        <v>1.4773337164184874</v>
      </c>
      <c r="AG29" s="181">
        <f>W29*Scenario!$AE8/60</f>
        <v>2.6970080366677665</v>
      </c>
      <c r="AH29" s="181">
        <f>X29*Scenario!$AE8/60</f>
        <v>6.4314302865964992</v>
      </c>
      <c r="AI29" s="191">
        <f>Y29*Scenario!$AG8/60</f>
        <v>2.3828005247002702E-2</v>
      </c>
      <c r="AJ29" s="181">
        <f>Z29*Scenario!$AG8/60</f>
        <v>5.6821541697775577E-2</v>
      </c>
      <c r="AK29" s="181">
        <f>AA29*Scenario!$AG8/60</f>
        <v>0.10373292974472577</v>
      </c>
      <c r="AL29" s="181">
        <f>AB29*Scenario!$AG8/60</f>
        <v>0.18937396613871585</v>
      </c>
      <c r="AM29" s="181">
        <f>AC29*Scenario!$AG8/60</f>
        <v>0.45159133556837505</v>
      </c>
      <c r="AN29" s="191">
        <f t="shared" si="34"/>
        <v>0.36317941114117153</v>
      </c>
      <c r="AO29" s="181">
        <f t="shared" si="35"/>
        <v>0.86605713906863857</v>
      </c>
      <c r="AP29" s="181">
        <f t="shared" si="36"/>
        <v>1.5810666461632132</v>
      </c>
      <c r="AQ29" s="181">
        <f t="shared" si="37"/>
        <v>2.8863820028064824</v>
      </c>
      <c r="AR29" s="181">
        <f t="shared" si="38"/>
        <v>6.8830216221648746</v>
      </c>
    </row>
    <row r="30" spans="1:52" ht="13.4" customHeight="1" x14ac:dyDescent="0.35">
      <c r="D30" s="71"/>
      <c r="E30" s="60" t="s">
        <v>5</v>
      </c>
      <c r="F30" s="239">
        <f t="shared" si="39"/>
        <v>37.765375389167772</v>
      </c>
      <c r="G30" s="77">
        <f>F30*Scenario!$C$20</f>
        <v>62.442312587944151</v>
      </c>
      <c r="H30" s="181">
        <f t="shared" si="16"/>
        <v>2.9726764064235347</v>
      </c>
      <c r="I30" s="77">
        <f t="shared" si="17"/>
        <v>1.1477946518664963</v>
      </c>
      <c r="J30" s="191">
        <f t="shared" si="28"/>
        <v>1.5017183734003066</v>
      </c>
      <c r="K30" s="181">
        <f t="shared" si="29"/>
        <v>2.3707723025011966</v>
      </c>
      <c r="L30" s="181">
        <f t="shared" si="30"/>
        <v>2.9726764064235347</v>
      </c>
      <c r="M30" s="181">
        <f t="shared" si="31"/>
        <v>3.5745805103458723</v>
      </c>
      <c r="N30" s="181">
        <f t="shared" si="32"/>
        <v>4.4436344394467628</v>
      </c>
      <c r="O30" s="136">
        <f t="shared" si="18"/>
        <v>4.4893969061983903</v>
      </c>
      <c r="P30" s="329">
        <f t="shared" si="19"/>
        <v>10.705657097985771</v>
      </c>
      <c r="Q30" s="329">
        <f t="shared" si="20"/>
        <v>19.544157768953248</v>
      </c>
      <c r="R30" s="329">
        <f t="shared" si="21"/>
        <v>35.679650431695819</v>
      </c>
      <c r="S30" s="329">
        <f t="shared" si="22"/>
        <v>85.083611647335999</v>
      </c>
      <c r="T30" s="136">
        <f>O30*(1-Scenario!$Q9)</f>
        <v>4.2055492253151643</v>
      </c>
      <c r="U30" s="329">
        <f>P30*(1-Scenario!$Q9)</f>
        <v>10.028778665740505</v>
      </c>
      <c r="V30" s="329">
        <f>Q30*(1-Scenario!$Q9)</f>
        <v>18.30845418260429</v>
      </c>
      <c r="W30" s="329">
        <f>R30*(1-Scenario!$Q9)</f>
        <v>33.423760333010584</v>
      </c>
      <c r="X30" s="329">
        <f>S30*(1-Scenario!$Q9)</f>
        <v>79.704094898901246</v>
      </c>
      <c r="Y30" s="136">
        <f t="shared" si="23"/>
        <v>0.28384768088322598</v>
      </c>
      <c r="Z30" s="329">
        <f t="shared" si="24"/>
        <v>0.67687843224526567</v>
      </c>
      <c r="AA30" s="329">
        <f t="shared" si="25"/>
        <v>1.2357035863489578</v>
      </c>
      <c r="AB30" s="329">
        <f t="shared" si="26"/>
        <v>2.255890098685235</v>
      </c>
      <c r="AC30" s="329">
        <f t="shared" si="27"/>
        <v>5.379516748434753</v>
      </c>
      <c r="AD30" s="191">
        <f>T30*Scenario!$AE9/60</f>
        <v>0.27450350963634579</v>
      </c>
      <c r="AE30" s="181">
        <f>U30*Scenario!$AE9/60</f>
        <v>0.65459581938565303</v>
      </c>
      <c r="AF30" s="181">
        <f>V30*Scenario!$AE9/60</f>
        <v>1.1950246352816101</v>
      </c>
      <c r="AG30" s="181">
        <f>W30*Scenario!$AE9/60</f>
        <v>2.181626946946011</v>
      </c>
      <c r="AH30" s="181">
        <f>X30*Scenario!$AE9/60</f>
        <v>5.2024248463046208</v>
      </c>
      <c r="AI30" s="191">
        <f>Y30*Scenario!$AG9/60</f>
        <v>2.8384768088322597E-2</v>
      </c>
      <c r="AJ30" s="181">
        <f>Z30*Scenario!$AG9/60</f>
        <v>6.7687843224526562E-2</v>
      </c>
      <c r="AK30" s="181">
        <f>AA30*Scenario!$AG9/60</f>
        <v>0.12357035863489578</v>
      </c>
      <c r="AL30" s="181">
        <f>AB30*Scenario!$AG9/60</f>
        <v>0.22558900986852351</v>
      </c>
      <c r="AM30" s="181">
        <f>AC30*Scenario!$AG9/60</f>
        <v>0.53795167484347528</v>
      </c>
      <c r="AN30" s="191">
        <f t="shared" si="34"/>
        <v>0.30288827772466836</v>
      </c>
      <c r="AO30" s="181">
        <f t="shared" si="35"/>
        <v>0.72228366261017962</v>
      </c>
      <c r="AP30" s="181">
        <f t="shared" si="36"/>
        <v>1.3185949939165058</v>
      </c>
      <c r="AQ30" s="181">
        <f t="shared" si="37"/>
        <v>2.4072159568145346</v>
      </c>
      <c r="AR30" s="181">
        <f t="shared" si="38"/>
        <v>5.7403765211480957</v>
      </c>
    </row>
    <row r="31" spans="1:52" ht="13.4" customHeight="1" x14ac:dyDescent="0.35">
      <c r="D31" s="71"/>
      <c r="E31" s="60" t="s">
        <v>6</v>
      </c>
      <c r="F31" s="239">
        <f t="shared" si="39"/>
        <v>57.325599767058044</v>
      </c>
      <c r="G31" s="77">
        <f>F31*Scenario!$C$20</f>
        <v>94.783726708903203</v>
      </c>
      <c r="H31" s="181">
        <f t="shared" si="16"/>
        <v>3.3900310098366306</v>
      </c>
      <c r="I31" s="77">
        <f t="shared" si="17"/>
        <v>1.1477946518664963</v>
      </c>
      <c r="J31" s="191">
        <f t="shared" si="28"/>
        <v>1.9190729768134025</v>
      </c>
      <c r="K31" s="181">
        <f t="shared" si="29"/>
        <v>2.7881269059142926</v>
      </c>
      <c r="L31" s="181">
        <f t="shared" si="30"/>
        <v>3.3900310098366306</v>
      </c>
      <c r="M31" s="181">
        <f t="shared" si="31"/>
        <v>3.9919351137589683</v>
      </c>
      <c r="N31" s="181">
        <f t="shared" si="32"/>
        <v>4.8609890428598588</v>
      </c>
      <c r="O31" s="136">
        <f t="shared" si="18"/>
        <v>6.8146382125997684</v>
      </c>
      <c r="P31" s="181">
        <f t="shared" si="19"/>
        <v>16.250552462892401</v>
      </c>
      <c r="Q31" s="329">
        <f t="shared" si="20"/>
        <v>29.666872220965931</v>
      </c>
      <c r="R31" s="329">
        <f t="shared" si="21"/>
        <v>54.159592997521301</v>
      </c>
      <c r="S31" s="329">
        <f t="shared" si="22"/>
        <v>129.15187570014157</v>
      </c>
      <c r="T31" s="136">
        <f>O31*(1-Scenario!$Q10)</f>
        <v>5.9899923082037949</v>
      </c>
      <c r="U31" s="329">
        <f>P31*(1-Scenario!$Q10)</f>
        <v>14.284057527340469</v>
      </c>
      <c r="V31" s="329">
        <f>Q31*(1-Scenario!$Q10)</f>
        <v>26.076855567106765</v>
      </c>
      <c r="W31" s="329">
        <f>R31*(1-Scenario!$Q10)</f>
        <v>47.605688717381952</v>
      </c>
      <c r="X31" s="329">
        <f>S31*(1-Scenario!$Q10)</f>
        <v>113.52308338299986</v>
      </c>
      <c r="Y31" s="136">
        <f t="shared" si="23"/>
        <v>0.82464590439597352</v>
      </c>
      <c r="Z31" s="329">
        <f t="shared" si="24"/>
        <v>1.9664949355519319</v>
      </c>
      <c r="AA31" s="329">
        <f t="shared" si="25"/>
        <v>3.5900166538591662</v>
      </c>
      <c r="AB31" s="329">
        <f t="shared" si="26"/>
        <v>6.5539042801393492</v>
      </c>
      <c r="AC31" s="329">
        <f t="shared" si="27"/>
        <v>15.628792317141716</v>
      </c>
      <c r="AD31" s="191">
        <f>T31*Scenario!$AE10/60</f>
        <v>0.35898185126852328</v>
      </c>
      <c r="AE31" s="181">
        <f>U31*Scenario!$AE10/60</f>
        <v>0.85604741224257153</v>
      </c>
      <c r="AF31" s="181">
        <f>V31*Scenario!$AE10/60</f>
        <v>1.5627929728592558</v>
      </c>
      <c r="AG31" s="181">
        <f>W31*Scenario!$AE10/60</f>
        <v>2.8530217381536902</v>
      </c>
      <c r="AH31" s="181">
        <f>X31*Scenario!$AE10/60</f>
        <v>6.8034689424769308</v>
      </c>
      <c r="AI31" s="191">
        <f>Y31*Scenario!$AG10/60</f>
        <v>8.2464590439597349E-2</v>
      </c>
      <c r="AJ31" s="181">
        <f>Z31*Scenario!$AG10/60</f>
        <v>0.19664949355519318</v>
      </c>
      <c r="AK31" s="181">
        <f>AA31*Scenario!$AG10/60</f>
        <v>0.3590016653859166</v>
      </c>
      <c r="AL31" s="181">
        <f>AB31*Scenario!$AG10/60</f>
        <v>0.65539042801393488</v>
      </c>
      <c r="AM31" s="181">
        <f>AC31*Scenario!$AG10/60</f>
        <v>1.5628792317141715</v>
      </c>
      <c r="AN31" s="191">
        <f t="shared" si="34"/>
        <v>0.44144644170812064</v>
      </c>
      <c r="AO31" s="181">
        <f t="shared" si="35"/>
        <v>1.0526969057977646</v>
      </c>
      <c r="AP31" s="181">
        <f t="shared" si="36"/>
        <v>1.9217946382451725</v>
      </c>
      <c r="AQ31" s="181">
        <f t="shared" si="37"/>
        <v>3.5084121661676253</v>
      </c>
      <c r="AR31" s="181">
        <f t="shared" si="38"/>
        <v>8.3663481741911028</v>
      </c>
    </row>
    <row r="32" spans="1:52" ht="13.4" customHeight="1" x14ac:dyDescent="0.35">
      <c r="A32" s="73"/>
      <c r="D32" s="71"/>
      <c r="E32" s="60" t="s">
        <v>7</v>
      </c>
      <c r="F32" s="239">
        <f t="shared" si="39"/>
        <v>46.777484842058925</v>
      </c>
      <c r="G32" s="77">
        <f>F32*Scenario!$C$20</f>
        <v>77.343182756326101</v>
      </c>
      <c r="H32" s="181">
        <f t="shared" si="16"/>
        <v>3.1866857126161117</v>
      </c>
      <c r="I32" s="77">
        <f t="shared" si="17"/>
        <v>1.1477946518664963</v>
      </c>
      <c r="J32" s="191">
        <f t="shared" si="28"/>
        <v>1.7157276795928835</v>
      </c>
      <c r="K32" s="181">
        <f t="shared" si="29"/>
        <v>2.5847816086937736</v>
      </c>
      <c r="L32" s="181">
        <f t="shared" si="30"/>
        <v>3.1866857126161117</v>
      </c>
      <c r="M32" s="181">
        <f t="shared" si="31"/>
        <v>3.7885898165384493</v>
      </c>
      <c r="N32" s="181">
        <f t="shared" si="32"/>
        <v>4.6576437456393398</v>
      </c>
      <c r="O32" s="136">
        <f t="shared" si="18"/>
        <v>5.5607204632716671</v>
      </c>
      <c r="P32" s="181">
        <f t="shared" si="19"/>
        <v>13.260392819210514</v>
      </c>
      <c r="Q32" s="329">
        <f t="shared" si="20"/>
        <v>24.20806186532031</v>
      </c>
      <c r="R32" s="329">
        <f t="shared" si="21"/>
        <v>44.194034616092601</v>
      </c>
      <c r="S32" s="329">
        <f t="shared" si="22"/>
        <v>105.38746968956301</v>
      </c>
      <c r="T32" s="136">
        <f>O32*(1-Scenario!$Q11)</f>
        <v>5.4781737356146234</v>
      </c>
      <c r="U32" s="329">
        <f>P32*(1-Scenario!$Q11)</f>
        <v>13.063547456832998</v>
      </c>
      <c r="V32" s="329">
        <f>Q32*(1-Scenario!$Q11)</f>
        <v>23.848702623455857</v>
      </c>
      <c r="W32" s="329">
        <f>R32*(1-Scenario!$Q11)</f>
        <v>43.537991399459806</v>
      </c>
      <c r="X32" s="329">
        <f>S32*(1-Scenario!$Q11)</f>
        <v>103.82303378303104</v>
      </c>
      <c r="Y32" s="136">
        <f t="shared" si="23"/>
        <v>8.2546727657043739E-2</v>
      </c>
      <c r="Z32" s="329">
        <f t="shared" si="24"/>
        <v>0.19684536237751615</v>
      </c>
      <c r="AA32" s="329">
        <f t="shared" si="25"/>
        <v>0.35935924186445334</v>
      </c>
      <c r="AB32" s="329">
        <f t="shared" si="26"/>
        <v>0.65604321663279563</v>
      </c>
      <c r="AC32" s="329">
        <f t="shared" si="27"/>
        <v>1.5644359065319691</v>
      </c>
      <c r="AD32" s="191">
        <f>T32*Scenario!$AE11/60</f>
        <v>0.32343151019902705</v>
      </c>
      <c r="AE32" s="181">
        <f>U32*Scenario!$AE11/60</f>
        <v>0.77127215864870946</v>
      </c>
      <c r="AF32" s="181">
        <f>V32*Scenario!$AE11/60</f>
        <v>1.4080279812313068</v>
      </c>
      <c r="AG32" s="181">
        <f>W32*Scenario!$AE11/60</f>
        <v>2.5704840680412731</v>
      </c>
      <c r="AH32" s="181">
        <f>X32*Scenario!$AE11/60</f>
        <v>6.1297144323085009</v>
      </c>
      <c r="AI32" s="191">
        <f>Y32*Scenario!$AG11/60</f>
        <v>8.2546727657043743E-3</v>
      </c>
      <c r="AJ32" s="181">
        <f>Z32*Scenario!$AG11/60</f>
        <v>1.9684536237751616E-2</v>
      </c>
      <c r="AK32" s="181">
        <f>AA32*Scenario!$AG11/60</f>
        <v>3.5935924186445332E-2</v>
      </c>
      <c r="AL32" s="181">
        <f>AB32*Scenario!$AG11/60</f>
        <v>6.5604321663279563E-2</v>
      </c>
      <c r="AM32" s="181">
        <f>AC32*Scenario!$AG11/60</f>
        <v>0.15644359065319691</v>
      </c>
      <c r="AN32" s="191">
        <f t="shared" si="34"/>
        <v>0.3316861829647314</v>
      </c>
      <c r="AO32" s="181">
        <f t="shared" si="35"/>
        <v>0.79095669488646103</v>
      </c>
      <c r="AP32" s="181">
        <f t="shared" si="36"/>
        <v>1.4439639054177522</v>
      </c>
      <c r="AQ32" s="181">
        <f t="shared" si="37"/>
        <v>2.6360883897045526</v>
      </c>
      <c r="AR32" s="181">
        <f t="shared" si="38"/>
        <v>6.2861580229616978</v>
      </c>
    </row>
    <row r="33" spans="1:49" ht="13.4" customHeight="1" x14ac:dyDescent="0.35">
      <c r="A33" s="73"/>
      <c r="D33" s="71"/>
      <c r="E33" s="60" t="s">
        <v>8</v>
      </c>
      <c r="F33" s="239">
        <f t="shared" si="39"/>
        <v>41.583010218674737</v>
      </c>
      <c r="G33" s="77">
        <f>F33*Scenario!$C$20</f>
        <v>68.754495239756793</v>
      </c>
      <c r="H33" s="181">
        <f t="shared" si="16"/>
        <v>3.0689753942142728</v>
      </c>
      <c r="I33" s="77">
        <f t="shared" si="17"/>
        <v>1.1477946518664963</v>
      </c>
      <c r="J33" s="191">
        <f t="shared" si="28"/>
        <v>1.5980173611910446</v>
      </c>
      <c r="K33" s="181">
        <f t="shared" si="29"/>
        <v>2.4670712902919347</v>
      </c>
      <c r="L33" s="181">
        <f t="shared" si="30"/>
        <v>3.0689753942142728</v>
      </c>
      <c r="M33" s="181">
        <f t="shared" si="31"/>
        <v>3.6708794981366104</v>
      </c>
      <c r="N33" s="181">
        <f t="shared" si="32"/>
        <v>4.5399334272375009</v>
      </c>
      <c r="O33" s="136">
        <f t="shared" si="18"/>
        <v>4.9432220784883452</v>
      </c>
      <c r="P33" s="181">
        <f t="shared" si="19"/>
        <v>11.787872989893783</v>
      </c>
      <c r="Q33" s="329">
        <f t="shared" si="20"/>
        <v>21.519842020553099</v>
      </c>
      <c r="R33" s="329">
        <f t="shared" si="21"/>
        <v>39.286443023826266</v>
      </c>
      <c r="S33" s="329">
        <f t="shared" si="22"/>
        <v>93.684563071700325</v>
      </c>
      <c r="T33" s="136">
        <f>O33*(1-Scenario!$Q12)</f>
        <v>4.7422821122940242</v>
      </c>
      <c r="U33" s="329">
        <f>P33*(1-Scenario!$Q12)</f>
        <v>11.308700749099666</v>
      </c>
      <c r="V33" s="329">
        <f>Q33*(1-Scenario!$Q12)</f>
        <v>20.645069198402364</v>
      </c>
      <c r="W33" s="329">
        <f>R33*(1-Scenario!$Q12)</f>
        <v>37.689465099760014</v>
      </c>
      <c r="X33" s="329">
        <f>S33*(1-Scenario!$Q12)</f>
        <v>89.876323701173405</v>
      </c>
      <c r="Y33" s="136">
        <f t="shared" si="23"/>
        <v>0.20093996619432097</v>
      </c>
      <c r="Z33" s="329">
        <f t="shared" si="24"/>
        <v>0.47917224079411724</v>
      </c>
      <c r="AA33" s="329">
        <f t="shared" si="25"/>
        <v>0.87477282215073515</v>
      </c>
      <c r="AB33" s="329">
        <f t="shared" si="26"/>
        <v>1.5969779240662518</v>
      </c>
      <c r="AC33" s="329">
        <f t="shared" si="27"/>
        <v>3.8082393705269197</v>
      </c>
      <c r="AD33" s="191">
        <f>T33*Scenario!$AE12/60</f>
        <v>0.26942996969383326</v>
      </c>
      <c r="AE33" s="181">
        <f>U33*Scenario!$AE12/60</f>
        <v>0.64249718341464257</v>
      </c>
      <c r="AF33" s="181">
        <f>V33*Scenario!$AE12/60</f>
        <v>1.1729374669702837</v>
      </c>
      <c r="AG33" s="181">
        <f>W33*Scenario!$AE12/60</f>
        <v>2.1413047978060762</v>
      </c>
      <c r="AH33" s="181">
        <f>X33*Scenario!$AE12/60</f>
        <v>5.1062704827753045</v>
      </c>
      <c r="AI33" s="191">
        <f>Y33*Scenario!$AG12/60</f>
        <v>2.0093996619432099E-2</v>
      </c>
      <c r="AJ33" s="181">
        <f>Z33*Scenario!$AG12/60</f>
        <v>4.7917224079411722E-2</v>
      </c>
      <c r="AK33" s="181">
        <f>AA33*Scenario!$AG12/60</f>
        <v>8.7477282215073518E-2</v>
      </c>
      <c r="AL33" s="181">
        <f>AB33*Scenario!$AG12/60</f>
        <v>0.15969779240662518</v>
      </c>
      <c r="AM33" s="181">
        <f>AC33*Scenario!$AG12/60</f>
        <v>0.38082393705269196</v>
      </c>
      <c r="AN33" s="191">
        <f t="shared" si="34"/>
        <v>0.28952396631326538</v>
      </c>
      <c r="AO33" s="181">
        <f t="shared" si="35"/>
        <v>0.69041440749405425</v>
      </c>
      <c r="AP33" s="181">
        <f t="shared" si="36"/>
        <v>1.2604147491853572</v>
      </c>
      <c r="AQ33" s="181">
        <f t="shared" si="37"/>
        <v>2.3010025902127014</v>
      </c>
      <c r="AR33" s="181">
        <f t="shared" si="38"/>
        <v>5.4870944198279963</v>
      </c>
    </row>
    <row r="34" spans="1:49" ht="13.4" customHeight="1" thickBot="1" x14ac:dyDescent="0.4">
      <c r="A34" s="73"/>
      <c r="D34" s="67"/>
      <c r="E34" s="88" t="s">
        <v>9</v>
      </c>
      <c r="F34" s="352">
        <f t="shared" si="39"/>
        <v>24.936600753727383</v>
      </c>
      <c r="G34" s="79">
        <f>F34*Scenario!$C$20</f>
        <v>41.230863008755662</v>
      </c>
      <c r="H34" s="182">
        <f t="shared" si="16"/>
        <v>2.5576203525723322</v>
      </c>
      <c r="I34" s="79">
        <f t="shared" si="17"/>
        <v>1.1477946518664963</v>
      </c>
      <c r="J34" s="207">
        <f t="shared" si="28"/>
        <v>1.0866623195491041</v>
      </c>
      <c r="K34" s="182">
        <f t="shared" si="29"/>
        <v>1.9557162486499942</v>
      </c>
      <c r="L34" s="182">
        <f t="shared" si="30"/>
        <v>2.5576203525723322</v>
      </c>
      <c r="M34" s="182">
        <f t="shared" si="31"/>
        <v>3.1595244564946698</v>
      </c>
      <c r="N34" s="182">
        <f t="shared" si="32"/>
        <v>4.0285783855955604</v>
      </c>
      <c r="O34" s="137">
        <f t="shared" si="18"/>
        <v>2.9643634445905409</v>
      </c>
      <c r="P34" s="182">
        <f t="shared" si="19"/>
        <v>7.0689803585363489</v>
      </c>
      <c r="Q34" s="79">
        <f t="shared" si="20"/>
        <v>12.905071228076217</v>
      </c>
      <c r="R34" s="79">
        <f t="shared" si="21"/>
        <v>23.559389749981317</v>
      </c>
      <c r="S34" s="79">
        <f t="shared" si="22"/>
        <v>56.180986749660988</v>
      </c>
      <c r="T34" s="137">
        <f>O34*(1-Scenario!$Q13)</f>
        <v>2.9405354393435381</v>
      </c>
      <c r="U34" s="79">
        <f>P34*(1-Scenario!$Q13)</f>
        <v>7.0121588168385731</v>
      </c>
      <c r="V34" s="79">
        <f>Q34*(1-Scenario!$Q13)</f>
        <v>12.801338298331491</v>
      </c>
      <c r="W34" s="79">
        <f>R34*(1-Scenario!$Q13)</f>
        <v>23.3700157838426</v>
      </c>
      <c r="X34" s="79">
        <f>S34*(1-Scenario!$Q13)</f>
        <v>55.729395414092615</v>
      </c>
      <c r="Y34" s="137">
        <f t="shared" si="23"/>
        <v>2.3828005247002793E-2</v>
      </c>
      <c r="Z34" s="79">
        <f t="shared" si="24"/>
        <v>5.6821541697775757E-2</v>
      </c>
      <c r="AA34" s="79">
        <f t="shared" si="25"/>
        <v>0.10373292974472648</v>
      </c>
      <c r="AB34" s="79">
        <f t="shared" si="26"/>
        <v>0.18937396613871726</v>
      </c>
      <c r="AC34" s="79">
        <f t="shared" si="27"/>
        <v>0.45159133556837361</v>
      </c>
      <c r="AD34" s="207">
        <f>T34*Scenario!$AE13/60</f>
        <v>0.16706479191781384</v>
      </c>
      <c r="AE34" s="182">
        <f>U34*Scenario!$AE13/60</f>
        <v>0.39839167994905339</v>
      </c>
      <c r="AF34" s="182">
        <f>V34*Scenario!$AE13/60</f>
        <v>0.72730050808628799</v>
      </c>
      <c r="AG34" s="182">
        <f>W34*Scenario!$AE13/60</f>
        <v>1.3277537049222943</v>
      </c>
      <c r="AH34" s="208">
        <f>X34*Scenario!$AE13/60</f>
        <v>3.1662328309294114</v>
      </c>
      <c r="AI34" s="207">
        <f>Y34*Scenario!$AG13/60</f>
        <v>2.3828005247002793E-3</v>
      </c>
      <c r="AJ34" s="182">
        <f>Z34*Scenario!$AG13/60</f>
        <v>5.6821541697775757E-3</v>
      </c>
      <c r="AK34" s="182">
        <f>AA34*Scenario!$AG13/60</f>
        <v>1.0373292974472648E-2</v>
      </c>
      <c r="AL34" s="182">
        <f>AB34*Scenario!$AG13/60</f>
        <v>1.8937396613871726E-2</v>
      </c>
      <c r="AM34" s="182">
        <f>AC34*Scenario!$AG13/60</f>
        <v>4.5159133556837358E-2</v>
      </c>
      <c r="AN34" s="207">
        <f t="shared" si="34"/>
        <v>0.16944759244251412</v>
      </c>
      <c r="AO34" s="182">
        <f t="shared" si="35"/>
        <v>0.40407383411883097</v>
      </c>
      <c r="AP34" s="182">
        <f t="shared" si="36"/>
        <v>0.73767380106076064</v>
      </c>
      <c r="AQ34" s="182">
        <f t="shared" si="37"/>
        <v>1.346691101536166</v>
      </c>
      <c r="AR34" s="182">
        <f t="shared" si="38"/>
        <v>3.211391964486249</v>
      </c>
    </row>
    <row r="35" spans="1:49" ht="13.4" customHeight="1" x14ac:dyDescent="0.35">
      <c r="A35" s="73"/>
      <c r="D35" s="644"/>
      <c r="E35" s="60"/>
      <c r="F35" s="239"/>
      <c r="G35" s="625"/>
      <c r="H35" s="181"/>
      <c r="I35" s="625"/>
      <c r="J35" s="181"/>
      <c r="K35" s="181"/>
      <c r="L35" s="181"/>
      <c r="M35" s="181"/>
      <c r="N35" s="181"/>
      <c r="O35" s="625"/>
      <c r="P35" s="181"/>
      <c r="Q35" s="625"/>
      <c r="R35" s="625"/>
      <c r="S35" s="625"/>
      <c r="T35" s="625"/>
      <c r="U35" s="625"/>
      <c r="V35" s="625"/>
      <c r="W35" s="625"/>
      <c r="X35" s="625"/>
      <c r="Y35" s="625"/>
      <c r="Z35" s="625"/>
      <c r="AA35" s="625"/>
      <c r="AB35" s="625"/>
      <c r="AC35" s="625"/>
      <c r="AD35" s="181"/>
      <c r="AE35" s="181"/>
      <c r="AF35" s="181"/>
      <c r="AG35" s="181"/>
      <c r="AH35" s="181"/>
      <c r="AI35" s="181"/>
      <c r="AJ35" s="181"/>
      <c r="AK35" s="181"/>
      <c r="AL35" s="181"/>
      <c r="AM35" s="181"/>
      <c r="AN35" s="181"/>
      <c r="AO35" s="181"/>
      <c r="AP35" s="181"/>
      <c r="AQ35" s="181"/>
      <c r="AR35" s="181"/>
    </row>
    <row r="36" spans="1:49" x14ac:dyDescent="0.35">
      <c r="A36" s="73"/>
      <c r="D36" s="644"/>
      <c r="E36" s="60"/>
      <c r="F36" s="239"/>
      <c r="G36" s="625"/>
      <c r="H36" s="181"/>
      <c r="I36" s="625"/>
      <c r="J36" s="181"/>
      <c r="K36" s="181"/>
      <c r="L36" s="181"/>
      <c r="M36" s="181"/>
      <c r="N36" s="181"/>
      <c r="O36" s="625"/>
      <c r="P36" s="181"/>
      <c r="Q36" s="625"/>
      <c r="R36" s="625"/>
      <c r="S36" s="625"/>
      <c r="T36" s="625"/>
      <c r="U36" s="625"/>
      <c r="V36" s="625"/>
      <c r="W36" s="625"/>
      <c r="X36" s="625"/>
      <c r="Y36" s="625"/>
      <c r="Z36" s="625"/>
      <c r="AA36" s="625"/>
      <c r="AB36" s="625"/>
      <c r="AC36" s="625"/>
      <c r="AD36" s="181"/>
      <c r="AE36" s="181"/>
      <c r="AF36" s="181"/>
      <c r="AG36" s="181"/>
      <c r="AH36" s="181"/>
      <c r="AI36" s="181"/>
      <c r="AJ36" s="181"/>
      <c r="AK36" s="181"/>
      <c r="AL36" s="181"/>
      <c r="AM36" s="181"/>
      <c r="AN36" s="181"/>
      <c r="AO36" s="181"/>
      <c r="AP36" s="181"/>
      <c r="AQ36" s="181"/>
      <c r="AR36" s="181"/>
    </row>
    <row r="37" spans="1:49" x14ac:dyDescent="0.35">
      <c r="B37" s="64"/>
      <c r="C37" s="64"/>
      <c r="D37" s="64"/>
      <c r="E37" s="64"/>
      <c r="F37" s="334"/>
      <c r="G37" s="64"/>
      <c r="H37" s="64"/>
      <c r="I37" s="179"/>
      <c r="J37" s="179"/>
    </row>
    <row r="38" spans="1:49" ht="13.4" customHeight="1" x14ac:dyDescent="0.35">
      <c r="A38" s="678" t="s">
        <v>388</v>
      </c>
      <c r="B38" s="678" t="s">
        <v>343</v>
      </c>
      <c r="C38" s="81"/>
      <c r="D38" s="64"/>
      <c r="E38" s="64"/>
      <c r="F38" s="334"/>
      <c r="G38" s="81"/>
      <c r="H38" s="81"/>
      <c r="I38" s="82"/>
      <c r="J38" s="82"/>
      <c r="X38" s="47"/>
      <c r="Y38" s="47"/>
      <c r="Z38" s="47"/>
      <c r="AA38" s="47"/>
      <c r="AB38" s="47"/>
      <c r="AC38" s="1026"/>
      <c r="AD38" s="1026"/>
      <c r="AE38" s="1026"/>
      <c r="AF38" s="1026"/>
      <c r="AG38" s="1026"/>
      <c r="AH38" s="1026"/>
      <c r="AI38" s="1026"/>
      <c r="AJ38" s="1026"/>
      <c r="AK38" s="1026"/>
      <c r="AW38" s="63"/>
    </row>
    <row r="39" spans="1:49" ht="13.4" customHeight="1" x14ac:dyDescent="0.35">
      <c r="A39" s="679">
        <v>1</v>
      </c>
      <c r="B39" s="679" t="str">
        <f>'Visions person'!E5</f>
        <v>Scen1</v>
      </c>
      <c r="C39" s="81"/>
      <c r="D39" s="64"/>
      <c r="E39" s="64"/>
      <c r="F39" s="334"/>
      <c r="G39" s="81"/>
      <c r="H39" s="81"/>
      <c r="I39" s="82"/>
      <c r="J39" s="82"/>
      <c r="X39" s="47"/>
      <c r="Y39" s="47"/>
      <c r="Z39" s="47"/>
      <c r="AA39" s="47"/>
      <c r="AB39" s="47"/>
      <c r="AC39" s="47"/>
      <c r="AD39" s="47"/>
      <c r="AE39" s="303"/>
      <c r="AF39" s="303"/>
      <c r="AG39" s="47"/>
      <c r="AH39" s="47"/>
      <c r="AI39" s="47"/>
      <c r="AJ39" s="47"/>
      <c r="AK39" s="47"/>
      <c r="AW39" s="63"/>
    </row>
    <row r="40" spans="1:49" ht="27" customHeight="1" x14ac:dyDescent="0.35">
      <c r="A40" s="679">
        <v>2</v>
      </c>
      <c r="B40" s="679" t="str">
        <f>'Visions person'!G5</f>
        <v>Scen2</v>
      </c>
      <c r="C40" s="81"/>
      <c r="D40" s="64"/>
      <c r="E40" s="64"/>
      <c r="F40" s="334"/>
      <c r="G40" s="81"/>
      <c r="H40" s="81"/>
      <c r="I40" s="82"/>
      <c r="J40" s="82"/>
      <c r="X40" s="47"/>
      <c r="Y40" s="47"/>
      <c r="Z40" s="47"/>
      <c r="AA40" s="47"/>
      <c r="AB40" s="47"/>
      <c r="AC40" s="47"/>
      <c r="AD40" s="47"/>
      <c r="AE40" s="303"/>
      <c r="AF40" s="303"/>
      <c r="AG40" s="47"/>
      <c r="AH40" s="47"/>
      <c r="AI40" s="47"/>
      <c r="AJ40" s="47"/>
      <c r="AK40" s="47"/>
      <c r="AL40" s="63"/>
      <c r="AM40" s="63"/>
      <c r="AN40" s="63"/>
      <c r="AO40" s="63"/>
      <c r="AP40" s="63"/>
      <c r="AQ40" s="63"/>
      <c r="AR40" s="355"/>
      <c r="AS40" s="63"/>
      <c r="AT40" s="63"/>
      <c r="AU40" s="63"/>
      <c r="AV40" s="63"/>
      <c r="AW40" s="63"/>
    </row>
    <row r="41" spans="1:49" x14ac:dyDescent="0.35">
      <c r="A41" s="679">
        <v>3</v>
      </c>
      <c r="B41" s="679" t="str">
        <f>'Visions person'!I5</f>
        <v>Scen3</v>
      </c>
      <c r="C41" s="81"/>
      <c r="D41" s="64"/>
      <c r="E41" s="64"/>
      <c r="F41" s="334"/>
      <c r="G41" s="81"/>
      <c r="H41" s="81"/>
      <c r="I41" s="82"/>
      <c r="J41" s="82"/>
      <c r="X41" s="47"/>
      <c r="Y41" s="47"/>
      <c r="Z41" s="47"/>
      <c r="AA41" s="47"/>
      <c r="AB41" s="47"/>
      <c r="AC41" s="47"/>
      <c r="AD41" s="47"/>
      <c r="AE41" s="303"/>
      <c r="AF41" s="303"/>
      <c r="AG41" s="47"/>
      <c r="AH41" s="47"/>
      <c r="AI41" s="47"/>
      <c r="AJ41" s="47"/>
      <c r="AK41" s="47"/>
      <c r="AL41" s="63"/>
      <c r="AM41" s="63"/>
      <c r="AN41" s="63"/>
      <c r="AO41" s="63"/>
      <c r="AP41" s="63"/>
      <c r="AQ41" s="63"/>
      <c r="AR41" s="355"/>
      <c r="AS41" s="63"/>
      <c r="AT41" s="63"/>
      <c r="AU41" s="63"/>
      <c r="AV41" s="63"/>
      <c r="AW41" s="63"/>
    </row>
    <row r="42" spans="1:49" x14ac:dyDescent="0.35">
      <c r="A42" s="679">
        <v>4</v>
      </c>
      <c r="B42" s="679" t="str">
        <f>'Visions person'!K5</f>
        <v>Scen4</v>
      </c>
      <c r="C42" s="81"/>
      <c r="D42" s="64"/>
      <c r="E42" s="64"/>
      <c r="F42" s="334"/>
      <c r="G42" s="81"/>
      <c r="H42" s="81"/>
      <c r="I42" s="82"/>
      <c r="J42" s="82"/>
      <c r="X42" s="47"/>
      <c r="Y42" s="47"/>
      <c r="Z42" s="47"/>
      <c r="AA42" s="47"/>
      <c r="AB42" s="47"/>
      <c r="AC42" s="47"/>
      <c r="AD42" s="304"/>
      <c r="AE42" s="303"/>
      <c r="AF42" s="303"/>
      <c r="AG42" s="304"/>
      <c r="AH42" s="304"/>
      <c r="AI42" s="304"/>
      <c r="AJ42" s="304"/>
      <c r="AK42" s="47"/>
      <c r="AL42" s="63"/>
      <c r="AM42" s="63"/>
      <c r="AN42" s="63"/>
      <c r="AO42" s="63"/>
      <c r="AP42" s="63"/>
      <c r="AQ42" s="63"/>
      <c r="AR42" s="355"/>
      <c r="AS42" s="63"/>
      <c r="AT42" s="63"/>
      <c r="AU42" s="63"/>
      <c r="AV42" s="63"/>
      <c r="AW42" s="63"/>
    </row>
    <row r="43" spans="1:49" x14ac:dyDescent="0.35">
      <c r="A43" s="679">
        <v>5</v>
      </c>
      <c r="B43" s="679" t="str">
        <f>'Visions person'!M5</f>
        <v>Scen5</v>
      </c>
      <c r="C43" s="81"/>
      <c r="D43" s="81"/>
      <c r="E43" s="81"/>
      <c r="F43" s="334"/>
      <c r="G43" s="81"/>
      <c r="H43" s="81"/>
      <c r="I43" s="82"/>
      <c r="J43" s="82"/>
      <c r="X43" s="47"/>
      <c r="Y43" s="47"/>
      <c r="Z43" s="47"/>
      <c r="AA43" s="47"/>
      <c r="AB43" s="47"/>
      <c r="AC43" s="47"/>
      <c r="AD43" s="305"/>
      <c r="AE43" s="303"/>
      <c r="AF43" s="303"/>
      <c r="AG43" s="305"/>
      <c r="AH43" s="305"/>
      <c r="AI43" s="304"/>
      <c r="AJ43" s="304"/>
      <c r="AK43" s="47"/>
      <c r="AL43" s="63"/>
      <c r="AM43" s="63"/>
      <c r="AN43" s="63"/>
      <c r="AO43" s="63"/>
      <c r="AP43" s="63"/>
      <c r="AQ43" s="63"/>
      <c r="AR43" s="355"/>
      <c r="AS43" s="63"/>
      <c r="AT43" s="63"/>
      <c r="AU43" s="63"/>
      <c r="AV43" s="63"/>
      <c r="AW43" s="63"/>
    </row>
    <row r="44" spans="1:49" x14ac:dyDescent="0.35">
      <c r="A44" s="60"/>
      <c r="B44" s="81"/>
      <c r="C44" s="81"/>
      <c r="D44" s="81"/>
      <c r="E44" s="81"/>
      <c r="F44" s="334"/>
      <c r="G44" s="81"/>
      <c r="H44" s="81"/>
      <c r="I44" s="82"/>
      <c r="J44" s="82"/>
      <c r="X44" s="47"/>
      <c r="Y44" s="47"/>
      <c r="Z44" s="47"/>
      <c r="AA44" s="47"/>
      <c r="AB44" s="47"/>
      <c r="AC44" s="47"/>
      <c r="AD44" s="306"/>
      <c r="AE44" s="303"/>
      <c r="AF44" s="303"/>
      <c r="AG44" s="306"/>
      <c r="AH44" s="305"/>
      <c r="AI44" s="304"/>
      <c r="AJ44" s="304"/>
      <c r="AK44" s="47"/>
      <c r="AL44" s="63"/>
      <c r="AM44" s="63"/>
      <c r="AN44" s="63"/>
      <c r="AO44" s="63"/>
      <c r="AP44" s="63"/>
      <c r="AQ44" s="63"/>
      <c r="AR44" s="355"/>
      <c r="AS44" s="63"/>
      <c r="AT44" s="63"/>
      <c r="AU44" s="63"/>
      <c r="AV44" s="63"/>
      <c r="AW44" s="63"/>
    </row>
    <row r="45" spans="1:49" x14ac:dyDescent="0.35">
      <c r="A45" s="60"/>
      <c r="B45" s="81"/>
      <c r="C45" s="81"/>
      <c r="D45" s="81"/>
      <c r="E45" s="81"/>
      <c r="F45" s="334"/>
      <c r="G45" s="81"/>
      <c r="H45" s="81"/>
      <c r="I45" s="82"/>
      <c r="J45" s="82"/>
      <c r="X45" s="47"/>
      <c r="Y45" s="47"/>
      <c r="Z45" s="47"/>
      <c r="AA45" s="47"/>
      <c r="AB45" s="47"/>
      <c r="AC45" s="307"/>
      <c r="AD45" s="307"/>
      <c r="AE45" s="307"/>
      <c r="AF45" s="307"/>
      <c r="AG45" s="307"/>
      <c r="AH45" s="307"/>
      <c r="AI45" s="307"/>
      <c r="AJ45" s="307"/>
      <c r="AK45" s="47"/>
      <c r="AL45" s="63"/>
      <c r="AM45" s="63"/>
      <c r="AN45" s="63"/>
      <c r="AO45" s="63"/>
      <c r="AP45" s="63"/>
      <c r="AQ45" s="63"/>
      <c r="AR45" s="355"/>
      <c r="AS45" s="63"/>
      <c r="AT45" s="63"/>
      <c r="AU45" s="63"/>
      <c r="AV45" s="63"/>
      <c r="AW45" s="63"/>
    </row>
    <row r="46" spans="1:49" x14ac:dyDescent="0.35">
      <c r="A46" s="60"/>
      <c r="B46" s="81"/>
      <c r="C46" s="81"/>
      <c r="D46" s="81"/>
      <c r="E46" s="81"/>
      <c r="F46" s="334"/>
      <c r="G46" s="81"/>
      <c r="H46" s="81"/>
      <c r="I46" s="82"/>
      <c r="J46" s="82"/>
      <c r="L46" s="63"/>
      <c r="Y46" s="64"/>
      <c r="Z46" s="64"/>
      <c r="AA46" s="64"/>
      <c r="AB46" s="64"/>
      <c r="AC46" s="64"/>
      <c r="AD46" s="64"/>
      <c r="AE46" s="64"/>
      <c r="AF46" s="64"/>
      <c r="AK46" s="63"/>
      <c r="AL46" s="63"/>
      <c r="AM46" s="63"/>
      <c r="AN46" s="63"/>
      <c r="AO46" s="63"/>
      <c r="AP46" s="63"/>
      <c r="AQ46" s="63"/>
      <c r="AR46" s="355"/>
      <c r="AS46" s="63"/>
      <c r="AT46" s="63"/>
      <c r="AU46" s="63"/>
      <c r="AV46" s="63"/>
      <c r="AW46" s="63"/>
    </row>
    <row r="47" spans="1:49" x14ac:dyDescent="0.35">
      <c r="A47" s="60"/>
      <c r="B47" s="81"/>
      <c r="C47" s="81"/>
      <c r="D47" s="81"/>
      <c r="E47" s="81"/>
      <c r="F47" s="334"/>
      <c r="G47" s="81"/>
      <c r="H47" s="81"/>
      <c r="I47" s="82"/>
      <c r="J47" s="82"/>
      <c r="L47" s="63"/>
      <c r="Y47" s="64"/>
      <c r="Z47" s="64"/>
      <c r="AA47" s="64"/>
      <c r="AB47" s="64"/>
      <c r="AC47" s="64"/>
      <c r="AD47" s="64"/>
      <c r="AE47" s="64"/>
      <c r="AF47" s="64"/>
      <c r="AK47" s="63"/>
      <c r="AL47" s="63"/>
      <c r="AM47" s="63"/>
      <c r="AN47" s="63"/>
      <c r="AO47" s="63"/>
      <c r="AP47" s="63"/>
      <c r="AQ47" s="63"/>
      <c r="AR47" s="355"/>
      <c r="AS47" s="63"/>
      <c r="AT47" s="63"/>
      <c r="AU47" s="63"/>
      <c r="AV47" s="63"/>
      <c r="AW47" s="63"/>
    </row>
    <row r="48" spans="1:49" x14ac:dyDescent="0.35">
      <c r="A48" s="60"/>
      <c r="B48" s="81"/>
      <c r="C48" s="81"/>
      <c r="D48" s="81"/>
      <c r="E48" s="81"/>
      <c r="F48" s="334"/>
      <c r="G48" s="81"/>
      <c r="H48" s="81"/>
      <c r="I48" s="82"/>
      <c r="J48" s="82"/>
      <c r="L48" s="63"/>
      <c r="Y48" s="64"/>
      <c r="Z48" s="64"/>
      <c r="AA48" s="64"/>
      <c r="AB48" s="64"/>
      <c r="AC48" s="64"/>
      <c r="AD48" s="64"/>
      <c r="AE48" s="64"/>
      <c r="AF48" s="64"/>
      <c r="AK48" s="63"/>
      <c r="AL48" s="63"/>
      <c r="AM48" s="63"/>
      <c r="AN48" s="63"/>
      <c r="AO48" s="63"/>
      <c r="AP48" s="63"/>
      <c r="AQ48" s="63"/>
      <c r="AR48" s="355"/>
      <c r="AS48" s="63"/>
      <c r="AT48" s="63"/>
      <c r="AU48" s="63"/>
      <c r="AV48" s="63"/>
      <c r="AW48" s="63"/>
    </row>
    <row r="49" spans="1:49" x14ac:dyDescent="0.35">
      <c r="A49" s="60"/>
      <c r="B49" s="81"/>
      <c r="C49" s="81"/>
      <c r="D49" s="81"/>
      <c r="E49" s="81"/>
      <c r="F49" s="334"/>
      <c r="G49" s="81"/>
      <c r="H49" s="81"/>
      <c r="I49" s="82"/>
      <c r="J49" s="82"/>
      <c r="L49" s="63"/>
      <c r="Y49" s="64"/>
      <c r="Z49" s="64"/>
      <c r="AA49" s="64"/>
      <c r="AB49" s="64"/>
      <c r="AC49" s="64"/>
      <c r="AD49" s="64"/>
      <c r="AE49" s="64"/>
      <c r="AF49" s="64"/>
      <c r="AK49" s="63"/>
      <c r="AL49" s="63"/>
      <c r="AM49" s="63"/>
      <c r="AN49" s="63"/>
      <c r="AO49" s="63"/>
      <c r="AP49" s="63"/>
      <c r="AQ49" s="63"/>
      <c r="AR49" s="355"/>
      <c r="AS49" s="63"/>
      <c r="AT49" s="63"/>
      <c r="AU49" s="63"/>
      <c r="AV49" s="63"/>
      <c r="AW49" s="63"/>
    </row>
    <row r="50" spans="1:49" x14ac:dyDescent="0.35">
      <c r="L50" s="63"/>
      <c r="Y50" s="64"/>
      <c r="Z50" s="64"/>
      <c r="AA50" s="64"/>
      <c r="AB50" s="64"/>
      <c r="AC50" s="64"/>
      <c r="AD50" s="64"/>
      <c r="AE50" s="64"/>
      <c r="AF50" s="64"/>
      <c r="AK50" s="63"/>
      <c r="AL50" s="63"/>
      <c r="AM50" s="63"/>
      <c r="AN50" s="63"/>
      <c r="AO50" s="63"/>
      <c r="AP50" s="63"/>
      <c r="AQ50" s="63"/>
      <c r="AR50" s="355"/>
      <c r="AS50" s="63"/>
      <c r="AT50" s="63"/>
      <c r="AU50" s="63"/>
      <c r="AV50" s="63"/>
      <c r="AW50" s="63"/>
    </row>
  </sheetData>
  <mergeCells count="41">
    <mergeCell ref="S15:U15"/>
    <mergeCell ref="Y15:AA15"/>
    <mergeCell ref="AC38:AK38"/>
    <mergeCell ref="AH2:AK2"/>
    <mergeCell ref="A1:C1"/>
    <mergeCell ref="A2:C2"/>
    <mergeCell ref="D2:Q2"/>
    <mergeCell ref="R2:AC2"/>
    <mergeCell ref="AD2:AG2"/>
    <mergeCell ref="D3:I3"/>
    <mergeCell ref="J3:Q3"/>
    <mergeCell ref="R3:W3"/>
    <mergeCell ref="X3:AC3"/>
    <mergeCell ref="A4:C4"/>
    <mergeCell ref="D4:E4"/>
    <mergeCell ref="F4:G4"/>
    <mergeCell ref="H4:I4"/>
    <mergeCell ref="J4:K4"/>
    <mergeCell ref="L4:M4"/>
    <mergeCell ref="AJ4:AK4"/>
    <mergeCell ref="N4:O4"/>
    <mergeCell ref="P4:Q4"/>
    <mergeCell ref="R4:S4"/>
    <mergeCell ref="T4:U4"/>
    <mergeCell ref="V4:W4"/>
    <mergeCell ref="X4:Y4"/>
    <mergeCell ref="Z4:AA4"/>
    <mergeCell ref="AB4:AC4"/>
    <mergeCell ref="AD4:AE4"/>
    <mergeCell ref="AF4:AG4"/>
    <mergeCell ref="AH4:AI4"/>
    <mergeCell ref="A25:B25"/>
    <mergeCell ref="A22:B22"/>
    <mergeCell ref="A23:B23"/>
    <mergeCell ref="A24:B24"/>
    <mergeCell ref="A16:B16"/>
    <mergeCell ref="A17:B17"/>
    <mergeCell ref="A18:B18"/>
    <mergeCell ref="A19:B19"/>
    <mergeCell ref="A20:B20"/>
    <mergeCell ref="A21:B21"/>
  </mergeCells>
  <pageMargins left="0.42" right="0.93" top="0.98425196850393704" bottom="0.98425196850393704" header="0.51181102362204722" footer="0.51181102362204722"/>
  <pageSetup paperSize="9" orientation="landscape" r:id="rId1"/>
  <headerFooter alignWithMargins="0"/>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
  <sheetViews>
    <sheetView workbookViewId="0">
      <selection activeCell="G20" sqref="G20"/>
    </sheetView>
  </sheetViews>
  <sheetFormatPr defaultColWidth="8.81640625" defaultRowHeight="12.5" x14ac:dyDescent="0.25"/>
  <cols>
    <col min="18" max="18" width="11.1796875" customWidth="1"/>
  </cols>
  <sheetData>
    <row r="1" spans="1:28" ht="16.5" x14ac:dyDescent="0.35">
      <c r="A1" s="63"/>
      <c r="B1" s="63"/>
      <c r="C1" s="63"/>
      <c r="D1" s="63"/>
      <c r="E1" s="63"/>
      <c r="F1" s="63"/>
      <c r="G1" s="64"/>
      <c r="H1" s="64"/>
      <c r="I1" s="64"/>
      <c r="J1" s="60"/>
      <c r="K1" s="72"/>
      <c r="L1" s="64"/>
      <c r="M1" s="64"/>
    </row>
    <row r="2" spans="1:28" ht="47.25" customHeight="1" x14ac:dyDescent="0.35">
      <c r="A2" s="197"/>
      <c r="B2" s="198"/>
      <c r="C2" s="1052" t="s">
        <v>71</v>
      </c>
      <c r="D2" s="1053"/>
      <c r="E2" s="1052" t="s">
        <v>81</v>
      </c>
      <c r="F2" s="1053"/>
      <c r="G2" s="1052" t="s">
        <v>30</v>
      </c>
      <c r="H2" s="1053"/>
      <c r="I2" s="1052" t="s">
        <v>31</v>
      </c>
      <c r="J2" s="1053"/>
      <c r="K2" s="1052" t="s">
        <v>29</v>
      </c>
      <c r="L2" s="1054"/>
      <c r="M2" s="1060" t="s">
        <v>32</v>
      </c>
      <c r="N2" s="1054"/>
      <c r="O2" s="1037" t="s">
        <v>157</v>
      </c>
      <c r="P2" s="1038"/>
      <c r="Q2" s="1037" t="s">
        <v>156</v>
      </c>
      <c r="R2" s="1038"/>
      <c r="S2" s="1037" t="s">
        <v>159</v>
      </c>
      <c r="T2" s="1038"/>
      <c r="U2" s="1037" t="s">
        <v>158</v>
      </c>
      <c r="V2" s="1038"/>
      <c r="W2" s="1037" t="s">
        <v>160</v>
      </c>
      <c r="X2" s="1038"/>
      <c r="Y2" s="1037" t="s">
        <v>160</v>
      </c>
      <c r="Z2" s="1038"/>
      <c r="AA2" s="1037" t="s">
        <v>160</v>
      </c>
      <c r="AB2" s="1038"/>
    </row>
    <row r="3" spans="1:28" ht="17" x14ac:dyDescent="0.4">
      <c r="A3" s="1043" t="s">
        <v>33</v>
      </c>
      <c r="B3" s="1044"/>
      <c r="C3" s="1046"/>
      <c r="D3" s="1047"/>
      <c r="E3" s="38" t="s">
        <v>25</v>
      </c>
      <c r="F3" s="38" t="s">
        <v>26</v>
      </c>
      <c r="G3" s="1048"/>
      <c r="H3" s="1049"/>
      <c r="I3" s="1048"/>
      <c r="J3" s="1049"/>
      <c r="K3" s="38" t="s">
        <v>80</v>
      </c>
      <c r="L3" s="74" t="s">
        <v>4</v>
      </c>
      <c r="M3" s="1039"/>
      <c r="N3" s="1040"/>
      <c r="O3" s="1039"/>
      <c r="P3" s="1040"/>
      <c r="Q3" s="1039"/>
      <c r="R3" s="1040"/>
      <c r="S3" s="1039"/>
      <c r="T3" s="1040"/>
      <c r="U3" s="1039"/>
      <c r="V3" s="1040"/>
      <c r="W3" s="1039"/>
      <c r="X3" s="1040"/>
      <c r="Y3" s="1039"/>
      <c r="Z3" s="1040"/>
      <c r="AA3" s="1039"/>
      <c r="AB3" s="1040"/>
    </row>
    <row r="4" spans="1:28" ht="16.5" customHeight="1" x14ac:dyDescent="0.3">
      <c r="A4" s="1021" t="s">
        <v>79</v>
      </c>
      <c r="B4" s="1045"/>
      <c r="C4" s="1050">
        <f>IF(('user page'!$R$36=0),C5^(1/C6^0.25),IF(('user page'!$R$36=1),C5^(1/C6^0.5),IF(('user page'!$R$36=2),C5^(1/C6^0.375),IF(('user page'!$R$36=4),C5^(1/C6),IF(('user page'!$R$36=3),C5^(1/(LN(C6))),"")))))</f>
        <v>0.97319906938028322</v>
      </c>
      <c r="D4" s="1051"/>
      <c r="E4" s="201">
        <f>IF(('user page'!$R$36=0),E5^(1/E6^0.25),IF(('user page'!$R$36=1),E5^(1/E6^0.5),IF(('user page'!$R$36=2),E5^(1/E6^0.375),IF(('user page'!$R$36=4),E5^(1/E6),IF(('user page'!$R$36=3),E5^(1/(LN(E6))),"")))))</f>
        <v>0.96065247560449929</v>
      </c>
      <c r="F4" s="201">
        <f>IF(('user page'!$R$36=0),F5^(1/F6^0.25),IF(('user page'!$R$36=1),F5^(1/F6^0.5),IF(('user page'!$R$36=2),F5^(1/F6^0.375),IF(('user page'!$R$36=4),F5^(1/F6),IF(('user page'!$R$36=3),F5^(1/(LN(F6))),"")))))</f>
        <v>0.97288384048792509</v>
      </c>
      <c r="G4" s="1050">
        <f>IF(('user page'!$R$36=0),G5^(1/G6^0.25),IF(('user page'!$R$36=1),G5^(1/G6^0.5),IF(('user page'!$R$36=2),G5^(1/G6^0.375),IF(('user page'!$R$36=4),G5^(1/G6),IF(('user page'!$R$36=3),G5^(1/(LN(G6))),"")))))</f>
        <v>0.93831941951583364</v>
      </c>
      <c r="H4" s="1051"/>
      <c r="I4" s="1050">
        <f>IF(('user page'!$R$36=0),I5^(1/I6^0.25),IF(('user page'!$R$36=1),I5^(1/I6^0.5),IF(('user page'!$R$36=2),I5^(1/I6^0.375),IF(('user page'!$R$36=4),I5^(1/I6),IF(('user page'!$R$36=3),I5^(1/(LN(I6))),"")))))</f>
        <v>0.94314906211536642</v>
      </c>
      <c r="J4" s="1051"/>
      <c r="K4" s="201">
        <f>IF(('user page'!$R$36=0),K5^(1/K6^0.25),IF(('user page'!$R$36=1),K5^(1/K6^0.5),IF(('user page'!$R$36=2),K5^(1/K6^0.375),IF(('user page'!$R$36=4),K5^(1/K6),IF(('user page'!$R$36=3),K5^(1/(LN(K6))),"")))))</f>
        <v>0.95590188686474464</v>
      </c>
      <c r="L4" s="201">
        <f>IF(('user page'!$R$36=0),L5^(1/L6^0.25),IF(('user page'!$R$36=1),L5^(1/L6^0.5),IF(('user page'!$R$36=2),L5^(1/L6^0.375),IF(('user page'!$R$36=4),L5^(1/L6),IF(('user page'!$R$36=3),L5^(1/(LN(L6))),"")))))</f>
        <v>0.97795094343237232</v>
      </c>
      <c r="M4" s="1050">
        <f>IF(('user page'!$R$36=0),M5^(1/M6^0.25),IF(('user page'!$R$36=1),M5^(1/M6^0.5),IF(('user page'!$R$36=2),M5^(1/M6^0.375),IF(('user page'!$R$36=4),M5^(1/M6),IF(('user page'!$R$36=3),M5^(1/(LN(M6))),"")))))</f>
        <v>0.94277975044398532</v>
      </c>
      <c r="N4" s="1051"/>
      <c r="O4" s="1041">
        <f>O5^(1/O6^0.25)</f>
        <v>0.89073615217571622</v>
      </c>
      <c r="P4" s="1042"/>
      <c r="Q4" s="1041">
        <f>IF(('user page'!$R$36=0),Q5^(1/Q6^0.25),IF(('user page'!$R$36=1),Q5^(1/Q6^0.5),IF(('user page'!$R$36=2),Q5^(1/Q6^0.375),IF(('user page'!$R$36=4),Q5^(1/Q6),IF(('user page'!$R$36=3),Q5^(1/(LN(Q6))),"")))))</f>
        <v>0.92549259217415814</v>
      </c>
      <c r="R4" s="1042"/>
      <c r="S4" s="1041">
        <f>IF(('user page'!$R$36=0),S5^(1/S6^0.25),IF(('user page'!$R$36=1),S5^(1/S6^0.5),IF(('user page'!$R$36=2),S5^(1/S6^0.375),IF(('user page'!$R$36=4),S5^(1/S6),IF(('user page'!$R$36=3),S5^(1/(LN(S6))),"")))))</f>
        <v>0.93147217571033913</v>
      </c>
      <c r="T4" s="1042"/>
      <c r="U4" s="1041">
        <f>U5^(1/U6^0.375)</f>
        <v>0.95369008020895385</v>
      </c>
      <c r="V4" s="1042"/>
      <c r="W4" s="1041">
        <f>W5^(1/W6)</f>
        <v>0.98668298749634353</v>
      </c>
      <c r="X4" s="1042"/>
      <c r="Y4" s="1041">
        <f>(Y5/W5)^(1/(Y6-W6))</f>
        <v>0.9935921153695555</v>
      </c>
      <c r="Z4" s="1042"/>
      <c r="AA4" s="1041">
        <f>(AA5/Y5)^(1/(AA6-Y6))</f>
        <v>0.99808957471175141</v>
      </c>
      <c r="AB4" s="1042"/>
    </row>
    <row r="5" spans="1:28" ht="20.25" customHeight="1" x14ac:dyDescent="0.3">
      <c r="A5" s="1056" t="s">
        <v>130</v>
      </c>
      <c r="B5" s="1057"/>
      <c r="C5" s="1058">
        <v>0.94399999999999995</v>
      </c>
      <c r="D5" s="1059"/>
      <c r="E5" s="189">
        <v>0.8</v>
      </c>
      <c r="F5" s="189">
        <v>0.86</v>
      </c>
      <c r="G5" s="1058">
        <v>0.84</v>
      </c>
      <c r="H5" s="1059"/>
      <c r="I5" s="1058">
        <v>0.72</v>
      </c>
      <c r="J5" s="1059"/>
      <c r="K5" s="189">
        <v>0.85961557225572693</v>
      </c>
      <c r="L5" s="190">
        <v>0.92794549014833527</v>
      </c>
      <c r="M5" s="1033">
        <v>0.83</v>
      </c>
      <c r="N5" s="1034"/>
      <c r="O5" s="1033">
        <v>0.81</v>
      </c>
      <c r="P5" s="1034"/>
      <c r="Q5" s="1033">
        <v>0.72</v>
      </c>
      <c r="R5" s="1034"/>
      <c r="S5" s="1033">
        <v>0.78</v>
      </c>
      <c r="T5" s="1034"/>
      <c r="U5" s="1033">
        <v>0.89</v>
      </c>
      <c r="V5" s="1034"/>
      <c r="W5" s="1033">
        <v>0.86</v>
      </c>
      <c r="X5" s="1034"/>
      <c r="Y5" s="1033">
        <v>0.8</v>
      </c>
      <c r="Z5" s="1034"/>
      <c r="AA5" s="1033">
        <v>0.75</v>
      </c>
      <c r="AB5" s="1034"/>
    </row>
    <row r="6" spans="1:28" ht="16.5" customHeight="1" x14ac:dyDescent="0.3">
      <c r="A6" s="1021" t="s">
        <v>131</v>
      </c>
      <c r="B6" s="1045"/>
      <c r="C6" s="1035">
        <v>4.5</v>
      </c>
      <c r="D6" s="1055"/>
      <c r="E6" s="196">
        <v>30.9</v>
      </c>
      <c r="F6" s="196">
        <v>30.1</v>
      </c>
      <c r="G6" s="1035">
        <v>7.5</v>
      </c>
      <c r="H6" s="1055"/>
      <c r="I6" s="1035">
        <v>31.5</v>
      </c>
      <c r="J6" s="1055"/>
      <c r="K6" s="196">
        <v>11.25</v>
      </c>
      <c r="L6" s="196">
        <v>11.25</v>
      </c>
      <c r="M6" s="1035">
        <v>10</v>
      </c>
      <c r="N6" s="1036"/>
      <c r="O6" s="1035">
        <v>11</v>
      </c>
      <c r="P6" s="1036"/>
      <c r="Q6" s="1035">
        <f>3*6</f>
        <v>18</v>
      </c>
      <c r="R6" s="1036"/>
      <c r="S6" s="1035">
        <f>0.5*3.5*7</f>
        <v>12.25</v>
      </c>
      <c r="T6" s="1036"/>
      <c r="U6" s="1035">
        <v>11</v>
      </c>
      <c r="V6" s="1036"/>
      <c r="W6" s="1035">
        <v>11.25</v>
      </c>
      <c r="X6" s="1036"/>
      <c r="Y6" s="1035">
        <v>22.5</v>
      </c>
      <c r="Z6" s="1036"/>
      <c r="AA6" s="1035">
        <v>56.25</v>
      </c>
      <c r="AB6" s="1036"/>
    </row>
    <row r="7" spans="1:28" ht="13" x14ac:dyDescent="0.3">
      <c r="A7" s="77"/>
      <c r="B7" s="77"/>
      <c r="C7" s="77"/>
      <c r="D7" s="77"/>
      <c r="E7" s="77"/>
      <c r="F7" s="77"/>
      <c r="G7" s="77"/>
      <c r="H7" s="77"/>
      <c r="I7" s="77"/>
      <c r="J7" s="77"/>
      <c r="K7" s="77"/>
      <c r="L7" s="77"/>
      <c r="M7" s="77"/>
      <c r="N7" s="64"/>
      <c r="O7" s="64"/>
      <c r="Q7" s="64"/>
    </row>
  </sheetData>
  <mergeCells count="61">
    <mergeCell ref="W2:X2"/>
    <mergeCell ref="W3:X3"/>
    <mergeCell ref="W4:X4"/>
    <mergeCell ref="W5:X5"/>
    <mergeCell ref="W6:X6"/>
    <mergeCell ref="U2:V2"/>
    <mergeCell ref="U3:V3"/>
    <mergeCell ref="U4:V4"/>
    <mergeCell ref="U5:V5"/>
    <mergeCell ref="U6:V6"/>
    <mergeCell ref="S2:T2"/>
    <mergeCell ref="S3:T3"/>
    <mergeCell ref="S4:T4"/>
    <mergeCell ref="S5:T5"/>
    <mergeCell ref="S6:T6"/>
    <mergeCell ref="O6:P6"/>
    <mergeCell ref="Q2:R2"/>
    <mergeCell ref="Q3:R3"/>
    <mergeCell ref="Q4:R4"/>
    <mergeCell ref="Q5:R5"/>
    <mergeCell ref="Q6:R6"/>
    <mergeCell ref="M2:N2"/>
    <mergeCell ref="O2:P2"/>
    <mergeCell ref="O3:P3"/>
    <mergeCell ref="O4:P4"/>
    <mergeCell ref="O5:P5"/>
    <mergeCell ref="M3:N3"/>
    <mergeCell ref="M4:N4"/>
    <mergeCell ref="M5:N5"/>
    <mergeCell ref="G6:H6"/>
    <mergeCell ref="I6:J6"/>
    <mergeCell ref="A5:B5"/>
    <mergeCell ref="M6:N6"/>
    <mergeCell ref="C6:D6"/>
    <mergeCell ref="G5:H5"/>
    <mergeCell ref="C5:D5"/>
    <mergeCell ref="I5:J5"/>
    <mergeCell ref="A6:B6"/>
    <mergeCell ref="A3:B3"/>
    <mergeCell ref="A4:B4"/>
    <mergeCell ref="Y2:Z2"/>
    <mergeCell ref="Y3:Z3"/>
    <mergeCell ref="Y4:Z4"/>
    <mergeCell ref="C3:D3"/>
    <mergeCell ref="G3:H3"/>
    <mergeCell ref="I3:J3"/>
    <mergeCell ref="G4:H4"/>
    <mergeCell ref="C4:D4"/>
    <mergeCell ref="I4:J4"/>
    <mergeCell ref="C2:D2"/>
    <mergeCell ref="E2:F2"/>
    <mergeCell ref="G2:H2"/>
    <mergeCell ref="I2:J2"/>
    <mergeCell ref="K2:L2"/>
    <mergeCell ref="Y5:Z5"/>
    <mergeCell ref="Y6:Z6"/>
    <mergeCell ref="AA2:AB2"/>
    <mergeCell ref="AA3:AB3"/>
    <mergeCell ref="AA4:AB4"/>
    <mergeCell ref="AA5:AB5"/>
    <mergeCell ref="AA6:AB6"/>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Cover sheet</vt:lpstr>
      <vt:lpstr>user page</vt:lpstr>
      <vt:lpstr>user page 2</vt:lpstr>
      <vt:lpstr>Visions person</vt:lpstr>
      <vt:lpstr>Travel Summary</vt:lpstr>
      <vt:lpstr>Health summary</vt:lpstr>
      <vt:lpstr>Baseline</vt:lpstr>
      <vt:lpstr>Scenario</vt:lpstr>
      <vt:lpstr>Phy activity RRs</vt:lpstr>
      <vt:lpstr>Non travel METs</vt:lpstr>
      <vt:lpstr>t Total</vt:lpstr>
      <vt:lpstr>GBDNZ</vt:lpstr>
      <vt:lpstr>All-cause mort</vt:lpstr>
      <vt:lpstr>Acute Resp Infect</vt:lpstr>
      <vt:lpstr>Breast cancer</vt:lpstr>
      <vt:lpstr>CVD_air</vt:lpstr>
      <vt:lpstr>Colon Cancer</vt:lpstr>
      <vt:lpstr>Dementia</vt:lpstr>
      <vt:lpstr>Depression</vt:lpstr>
      <vt:lpstr>Diabetes</vt:lpstr>
      <vt:lpstr>HHD_air</vt:lpstr>
      <vt:lpstr>Inflammatory HD</vt:lpstr>
      <vt:lpstr>Lung Cancer</vt:lpstr>
      <vt:lpstr>Resp diseases</vt:lpstr>
      <vt:lpstr>Stroke_air</vt:lpstr>
      <vt:lpstr>air pollution</vt:lpstr>
      <vt:lpstr>Costs</vt:lpstr>
      <vt:lpstr>Scenario Data</vt:lpstr>
      <vt:lpstr>Calibration Data</vt:lpstr>
      <vt:lpstr>MoT Travel Input</vt:lpstr>
      <vt:lpstr>'Scenario Data'!_Ref383607996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jamesw</dc:creator>
  <cp:lastModifiedBy>Ralph Samuelson</cp:lastModifiedBy>
  <cp:lastPrinted>2016-04-12T23:33:00Z</cp:lastPrinted>
  <dcterms:created xsi:type="dcterms:W3CDTF">1996-10-14T23:33:28Z</dcterms:created>
  <dcterms:modified xsi:type="dcterms:W3CDTF">2019-07-08T05:58:46Z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